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RABA-ALAVA\"/>
    </mc:Choice>
  </mc:AlternateContent>
  <workbookProtection workbookAlgorithmName="SHA-512" workbookHashValue="/dquxVz3J1DFHDh8EssFR8yC1sLnDP9zpL4emuqGt0u5TIfIKBmk4gDeWn3FjJkrW3eQgk4oTN8HYSLAXRHI1w==" workbookSaltValue="xO2cQKixRtqwoeAtfEjtj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C10" i="14" s="1"/>
  <c r="K10" i="14" s="1"/>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AH13" i="16"/>
  <c r="E20" i="20"/>
  <c r="AC20" i="20"/>
  <c r="AL20" i="20"/>
  <c r="BD9" i="8" l="1"/>
  <c r="H17" i="2"/>
  <c r="BF16" i="13"/>
  <c r="BG15" i="8"/>
  <c r="K15" i="7" s="1"/>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W20" i="20"/>
  <c r="AP20" i="20"/>
  <c r="AG20" i="20"/>
  <c r="U10" i="11"/>
  <c r="AZ20" i="20"/>
  <c r="AU20" i="20"/>
  <c r="Z20" i="20"/>
  <c r="AM20" i="20"/>
  <c r="T20" i="20"/>
  <c r="U16" i="11"/>
  <c r="AI20" i="20"/>
  <c r="AX20" i="20"/>
  <c r="N20" i="20"/>
  <c r="U12" i="11"/>
  <c r="G18" i="14"/>
  <c r="W20" i="21"/>
  <c r="AD20" i="20"/>
  <c r="R20" i="20"/>
  <c r="G13" i="14"/>
  <c r="J20" i="20"/>
  <c r="K15" i="12" l="1"/>
  <c r="AZ19" i="11"/>
  <c r="R19"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T20" i="21"/>
  <c r="Q20" i="20"/>
  <c r="M20" i="20"/>
  <c r="F20" i="20"/>
  <c r="AV20" i="20"/>
  <c r="AO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T20" i="21"/>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<sst xmlns="http://schemas.openxmlformats.org/spreadsheetml/2006/main" count="2080" uniqueCount="913">
  <si>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</si>
  <si>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</si>
  <si>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</si>
  <si>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</si>
  <si>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</si>
  <si>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</si>
  <si>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</si>
  <si>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</si>
  <si>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</si>
  <si>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</si>
  <si>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</si>
  <si>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</si>
  <si>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</si>
  <si>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</si>
  <si>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</si>
  <si>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</si>
  <si>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</si>
  <si>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</si>
  <si>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</si>
  <si>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</si>
  <si>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</si>
  <si>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</si>
  <si>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</si>
  <si>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</si>
  <si>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</si>
  <si>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</si>
  <si>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</si>
  <si>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</si>
  <si>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</si>
  <si>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</si>
  <si>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</si>
  <si>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</si>
  <si>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</si>
  <si>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</si>
  <si>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</si>
  <si>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</si>
  <si>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</si>
  <si>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</si>
  <si>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</si>
  <si>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</si>
  <si>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</si>
  <si>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</si>
  <si>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</si>
  <si>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</si>
  <si>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</si>
  <si>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</si>
  <si>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</si>
  <si>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</si>
  <si>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</si>
  <si>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</si>
  <si>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</si>
  <si>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</si>
  <si>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</si>
  <si>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</si>
  <si>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</si>
  <si>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</si>
  <si>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</si>
  <si>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</si>
  <si>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</si>
  <si>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</si>
  <si>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</si>
  <si>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</si>
  <si>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</si>
  <si>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</si>
  <si>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</si>
  <si>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</si>
  <si>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</si>
  <si>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</si>
  <si>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</si>
  <si>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</si>
  <si>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</si>
  <si>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</si>
  <si>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</si>
  <si>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</si>
  <si>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</si>
  <si>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</si>
  <si>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</si>
  <si>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</si>
  <si>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</si>
  <si>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</si>
  <si>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</si>
  <si>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</si>
  <si>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</si>
  <si>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</si>
  <si>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</si>
  <si>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</si>
  <si>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</si>
  <si>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</si>
  <si>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</si>
  <si>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</si>
  <si>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</si>
  <si>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</si>
  <si>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</si>
  <si>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</si>
  <si>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</si>
  <si>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</si>
  <si>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</si>
  <si>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</si>
  <si>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</si>
  <si>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</si>
  <si>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</si>
  <si>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</si>
  <si>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</si>
  <si>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</si>
  <si>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</si>
  <si>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</si>
  <si>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</si>
  <si>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</si>
  <si>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</si>
  <si>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</si>
  <si>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</si>
  <si>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</si>
  <si>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</si>
  <si>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</si>
  <si>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</si>
  <si>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</si>
  <si>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</si>
  <si>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</si>
  <si>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</si>
  <si>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</si>
  <si>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</si>
  <si>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</si>
  <si>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</si>
  <si>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</si>
  <si>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</si>
  <si>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</si>
  <si>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</si>
  <si>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</si>
  <si>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</si>
  <si>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</si>
  <si>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</si>
  <si>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</si>
  <si>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</si>
  <si>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</si>
  <si>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</si>
  <si>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</si>
  <si>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</si>
  <si>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</si>
  <si>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</si>
  <si>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</si>
  <si>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</si>
  <si>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</si>
  <si>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</si>
  <si>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</si>
  <si>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</si>
  <si>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</si>
  <si>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</si>
  <si>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</si>
  <si>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</si>
  <si>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</si>
  <si>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</si>
  <si>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</si>
  <si>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</si>
  <si>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</si>
  <si>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</si>
  <si>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</si>
  <si>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</si>
  <si>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</si>
  <si>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</si>
  <si>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</si>
  <si>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</si>
  <si>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</si>
  <si>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</si>
  <si>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</si>
  <si>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</si>
  <si>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</si>
  <si>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</si>
  <si>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</si>
  <si>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</si>
  <si>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</si>
  <si>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</si>
  <si>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</si>
  <si>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</si>
  <si>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</si>
  <si>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</si>
  <si>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</si>
  <si>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</si>
  <si>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</si>
  <si>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</si>
  <si>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</si>
  <si>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</si>
  <si>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</si>
  <si>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</si>
  <si>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</si>
  <si>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</si>
  <si>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</si>
  <si>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</si>
  <si>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</si>
  <si>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</si>
  <si>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</si>
  <si>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</si>
  <si>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</si>
  <si>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</si>
  <si>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</si>
  <si>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</si>
  <si>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</si>
  <si>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</si>
  <si>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</si>
  <si>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</si>
  <si>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</si>
  <si>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</si>
  <si>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</si>
  <si>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</si>
  <si>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</si>
  <si>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</si>
  <si>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</si>
  <si>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</si>
  <si>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</si>
  <si>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</si>
  <si>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</si>
  <si>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</si>
  <si>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</si>
  <si>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</si>
  <si>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</si>
  <si>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</si>
  <si>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</si>
  <si>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</si>
  <si>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</si>
  <si>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</si>
  <si>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</si>
  <si>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</si>
  <si>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</si>
  <si>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</si>
  <si>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</si>
  <si>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</si>
  <si>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</si>
  <si>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</si>
  <si>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</si>
  <si>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</si>
  <si>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</si>
  <si>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</si>
  <si>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</si>
  <si>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</si>
  <si>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</si>
  <si>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</si>
  <si>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</si>
  <si>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</si>
  <si>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</si>
  <si>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</si>
  <si>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</si>
  <si>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</si>
  <si>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</si>
  <si>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</si>
  <si>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</si>
  <si>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</si>
  <si>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</si>
  <si>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</si>
  <si>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</si>
  <si>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</si>
  <si>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</si>
  <si>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</si>
  <si>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</si>
  <si>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</si>
  <si>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</si>
  <si>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</si>
  <si>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</si>
  <si>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</si>
  <si>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</si>
  <si>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</si>
  <si>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</si>
  <si>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</si>
  <si>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</si>
  <si>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</si>
  <si>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</si>
  <si>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</si>
  <si>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</si>
  <si>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</si>
  <si>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</si>
  <si>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</si>
  <si>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</si>
  <si>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</si>
  <si>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</si>
  <si>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</si>
  <si>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</si>
  <si>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</si>
  <si>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</si>
  <si>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</si>
  <si>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</si>
  <si>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</si>
  <si>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</si>
  <si>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</si>
  <si>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</si>
  <si>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</si>
  <si>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</si>
  <si>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</si>
  <si>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</si>
  <si>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</si>
  <si>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</si>
  <si>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</si>
  <si>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</si>
  <si>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</si>
  <si>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</si>
  <si>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</si>
  <si>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</si>
  <si>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</si>
  <si>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</si>
  <si>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</si>
  <si>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</si>
  <si>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</si>
  <si>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</si>
  <si>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</si>
  <si>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</si>
  <si>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</si>
  <si>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</si>
  <si>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</si>
  <si>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</si>
  <si>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</si>
  <si>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</si>
  <si>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</si>
  <si>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</si>
  <si>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</si>
  <si>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</si>
  <si>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</si>
  <si>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</si>
  <si>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</si>
  <si>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</si>
  <si>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</si>
  <si>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</si>
  <si>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</si>
  <si>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</si>
  <si>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</si>
  <si>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</si>
  <si>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</si>
  <si>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</si>
  <si>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</si>
  <si>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</si>
  <si>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</si>
  <si>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</si>
  <si>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</si>
  <si>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</si>
  <si>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</si>
  <si>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</si>
  <si>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</si>
  <si>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</si>
  <si>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</si>
  <si>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</si>
  <si>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</si>
  <si>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</si>
  <si>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</si>
  <si>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</si>
  <si>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</si>
  <si>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</si>
  <si>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</si>
  <si>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</si>
  <si>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</si>
  <si>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</si>
  <si>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</si>
  <si>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</si>
  <si>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</si>
  <si>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</si>
  <si>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</si>
  <si>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</si>
  <si>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</si>
  <si>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</si>
  <si>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</si>
  <si>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</si>
  <si>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</si>
  <si>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</si>
  <si>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</si>
  <si>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</si>
  <si>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</si>
  <si>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</si>
  <si>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</si>
  <si>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</si>
  <si>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</si>
  <si>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</si>
  <si>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</si>
  <si>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</si>
  <si>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</si>
  <si>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</si>
  <si>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</si>
  <si>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</si>
  <si>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</si>
  <si>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</si>
  <si>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</si>
  <si>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</si>
  <si>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</si>
  <si>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</si>
  <si>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</si>
  <si>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</si>
  <si>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</si>
  <si>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</si>
  <si>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</si>
  <si>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</si>
  <si>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</si>
  <si>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</si>
  <si>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</si>
  <si>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</si>
  <si>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</si>
  <si>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</si>
  <si>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</si>
  <si>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</si>
  <si>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</si>
  <si>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</si>
  <si>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</si>
  <si>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</si>
  <si>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</si>
  <si>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</si>
  <si>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</si>
  <si>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</si>
  <si>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</si>
  <si>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</si>
  <si>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</si>
  <si>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</si>
  <si>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</si>
  <si>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</si>
  <si>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</si>
  <si>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</si>
  <si>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</si>
  <si>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</si>
  <si>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</si>
  <si>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</si>
  <si>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</si>
  <si>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</si>
  <si>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</si>
  <si>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</si>
  <si>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</si>
  <si>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</si>
  <si>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</si>
  <si>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</si>
  <si>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</si>
  <si>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</si>
  <si>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</si>
  <si>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</si>
  <si>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</si>
  <si>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</si>
  <si>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</si>
  <si>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</si>
  <si>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</si>
  <si>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</si>
  <si>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</si>
  <si>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</si>
  <si>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</si>
  <si>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</si>
  <si>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</si>
  <si>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</si>
  <si>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</si>
  <si>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</si>
  <si>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</si>
  <si>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</si>
  <si>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</si>
  <si>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</si>
  <si>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</si>
  <si>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</si>
  <si>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</si>
  <si>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</si>
  <si>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</si>
  <si>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</si>
  <si>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</si>
  <si>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</si>
  <si>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</si>
  <si>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</si>
  <si>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</si>
  <si>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</si>
  <si>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</si>
  <si>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</si>
  <si>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</si>
  <si>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</si>
  <si>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</si>
  <si>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</si>
  <si>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</si>
  <si>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</si>
  <si>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</si>
  <si>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</si>
  <si>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</si>
  <si>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</si>
  <si>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</si>
  <si>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</si>
  <si>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</si>
  <si>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</si>
  <si>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</si>
  <si>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</si>
  <si>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</si>
  <si>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</si>
  <si>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</si>
  <si>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</si>
  <si>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</si>
  <si>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</si>
  <si>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</si>
  <si>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</si>
  <si>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</si>
  <si>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</si>
  <si>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</si>
  <si>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</si>
  <si>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</si>
  <si>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</si>
  <si>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</si>
  <si>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</si>
  <si>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</si>
  <si>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</si>
  <si>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</si>
  <si>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</si>
  <si>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</si>
  <si>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</si>
  <si>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</si>
  <si>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</si>
  <si>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</si>
  <si>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</si>
  <si>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</si>
  <si>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</si>
  <si>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</si>
  <si>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</si>
  <si>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</si>
  <si>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</si>
  <si>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</si>
  <si>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</si>
  <si>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</si>
  <si>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</si>
  <si>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</si>
  <si>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</si>
  <si>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</si>
  <si>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</si>
  <si>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</si>
  <si>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</si>
  <si>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</si>
  <si>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</si>
  <si>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</si>
  <si>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</si>
  <si>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</si>
  <si>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</si>
  <si>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</si>
  <si>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</si>
  <si>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</si>
  <si>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</si>
  <si>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</si>
  <si>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</si>
  <si>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</si>
  <si>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</si>
  <si>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</si>
  <si>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</si>
  <si>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</si>
  <si>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</si>
  <si>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</si>
  <si>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</si>
  <si>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</si>
  <si>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</si>
  <si>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</si>
  <si>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</si>
  <si>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</si>
  <si>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</si>
  <si>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</si>
  <si>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</si>
  <si>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</si>
  <si>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</si>
  <si>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</si>
  <si>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</si>
  <si>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</si>
  <si>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</si>
  <si>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</si>
  <si>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</si>
  <si>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</si>
  <si>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</si>
  <si>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</si>
  <si>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</si>
  <si>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</si>
  <si>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</si>
  <si>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</si>
  <si>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</si>
  <si>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</si>
  <si>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</si>
  <si>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</si>
  <si>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</si>
  <si>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</si>
  <si>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</si>
  <si>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</si>
  <si>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</si>
  <si>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</si>
  <si>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</si>
  <si>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</si>
  <si>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</si>
  <si>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</si>
  <si>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</si>
  <si>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</si>
  <si>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</si>
  <si>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</si>
  <si>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</si>
  <si>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</si>
  <si>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</si>
  <si>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</si>
  <si>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</si>
  <si>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</si>
  <si>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</si>
  <si>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</si>
  <si>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</si>
  <si>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</si>
  <si>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</si>
  <si>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</si>
  <si>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</si>
  <si>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</si>
  <si>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</si>
  <si>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</si>
  <si>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</si>
  <si>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</si>
  <si>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</si>
  <si>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</si>
  <si>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</si>
  <si>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</si>
  <si>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</si>
  <si>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</si>
  <si>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</si>
  <si>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</si>
  <si>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</si>
  <si>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</si>
  <si>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</si>
  <si>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</si>
  <si>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</si>
  <si>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</si>
  <si>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</si>
  <si>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</si>
  <si>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</si>
  <si>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</si>
  <si>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</si>
  <si>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</si>
  <si>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</si>
  <si>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</si>
  <si>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</si>
  <si>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</si>
  <si>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</si>
  <si>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</si>
  <si>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</si>
  <si>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</si>
  <si>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</si>
  <si>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</si>
  <si>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</si>
  <si>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</si>
  <si>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</si>
  <si>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</si>
  <si>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</si>
  <si>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</si>
  <si>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</si>
  <si>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</si>
  <si>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</si>
  <si>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</si>
  <si>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</si>
  <si>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</si>
  <si>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</si>
  <si>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</si>
  <si>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</si>
  <si>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</si>
  <si>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</si>
  <si>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</si>
  <si>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</si>
  <si>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</si>
  <si>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</si>
  <si>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</si>
  <si>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</si>
  <si>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</si>
  <si>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</si>
  <si>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</si>
  <si>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</si>
  <si>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</si>
  <si>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</si>
  <si>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</si>
  <si>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</si>
  <si>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</si>
  <si>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</si>
  <si>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</si>
  <si>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</si>
  <si>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</si>
  <si>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</si>
  <si>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</si>
  <si>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</si>
  <si>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</si>
  <si>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</si>
  <si>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</si>
  <si>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</si>
  <si>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</si>
  <si>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</si>
  <si>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</si>
  <si>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</si>
  <si>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</si>
  <si>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</si>
  <si>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</si>
  <si>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</si>
  <si>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</si>
  <si>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</si>
  <si>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</si>
  <si>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</si>
  <si>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</si>
  <si>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</si>
  <si>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</si>
  <si>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</si>
  <si>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</si>
  <si>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</si>
  <si>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</si>
  <si>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</si>
  <si>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</si>
  <si>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</si>
  <si>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</si>
  <si>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</si>
  <si>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</si>
  <si>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</si>
  <si>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</si>
  <si>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</si>
  <si>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</si>
  <si>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</si>
  <si>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</si>
  <si>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</si>
  <si>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</si>
  <si>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</si>
  <si>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</si>
  <si>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</si>
  <si>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</si>
  <si>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</si>
  <si>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</si>
  <si>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</si>
  <si>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</si>
  <si>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</si>
  <si>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</si>
  <si>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</si>
  <si>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</si>
  <si>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</si>
  <si>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</si>
  <si>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</si>
  <si>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</si>
  <si>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</si>
  <si>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</si>
  <si>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</si>
  <si>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</si>
  <si>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</si>
  <si>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</si>
  <si>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</si>
  <si>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</si>
  <si>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</si>
  <si>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</si>
  <si>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</si>
  <si>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</si>
  <si>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</si>
  <si>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</si>
  <si>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</si>
  <si>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</si>
  <si>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</si>
  <si>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</si>
  <si>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</si>
  <si>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</si>
  <si>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</si>
  <si>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</si>
  <si>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</si>
  <si>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</si>
  <si>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</si>
  <si>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</si>
  <si>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</si>
  <si>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</si>
  <si>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</si>
  <si>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</si>
  <si>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</si>
  <si>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</si>
  <si>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</si>
  <si>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</si>
  <si>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</si>
  <si>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</si>
  <si>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</si>
  <si>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</si>
  <si>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</si>
  <si>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</si>
  <si>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</si>
  <si>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</si>
  <si>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</si>
  <si>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</si>
  <si>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</si>
  <si>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</si>
  <si>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</si>
  <si>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</si>
  <si>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</si>
  <si>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</si>
  <si>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</si>
  <si>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</si>
  <si>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</si>
  <si>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</si>
  <si>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</si>
  <si>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</si>
  <si>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</si>
  <si>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</si>
  <si>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</si>
  <si>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</si>
  <si>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</si>
  <si>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</si>
  <si>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</si>
  <si>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</si>
  <si>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</si>
  <si>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</si>
  <si>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</si>
  <si>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</si>
  <si>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</si>
  <si>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</si>
  <si>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</si>
  <si>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</si>
  <si>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</si>
  <si>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</si>
  <si>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</si>
  <si>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</si>
  <si>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</si>
  <si>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</si>
  <si>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</si>
  <si>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</si>
  <si>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</si>
  <si>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</si>
  <si>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</si>
  <si>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</si>
  <si>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</si>
  <si>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</si>
  <si>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</si>
  <si>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</si>
  <si>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</si>
  <si>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</si>
  <si>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</si>
  <si>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</si>
  <si>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</si>
  <si>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</si>
  <si>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</si>
  <si>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</si>
  <si>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</si>
  <si>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</si>
  <si>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</si>
  <si>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</si>
  <si>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</si>
  <si>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</si>
  <si>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</si>
  <si>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</si>
  <si>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</si>
  <si>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</si>
  <si>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</si>
  <si>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</si>
  <si>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</si>
  <si>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</si>
  <si>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</si>
  <si>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</si>
  <si>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</si>
  <si>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</si>
  <si>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</si>
  <si>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</si>
  <si>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</si>
  <si>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</si>
  <si>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</si>
  <si>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</si>
  <si>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</si>
  <si>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</si>
  <si>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</si>
  <si>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</si>
  <si>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</si>
  <si>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</si>
  <si>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</si>
  <si>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</si>
  <si>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</si>
  <si>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</si>
  <si>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</si>
  <si>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</si>
  <si>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</si>
  <si>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</si>
  <si>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</si>
  <si>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</si>
  <si>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</si>
  <si>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</si>
  <si>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</si>
  <si>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</si>
  <si>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</si>
  <si>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</si>
  <si>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</si>
  <si>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</si>
  <si>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</si>
  <si>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</si>
  <si>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</si>
  <si>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</si>
  <si>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</si>
  <si>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</si>
  <si>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</si>
  <si>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</si>
  <si>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</si>
  <si>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</si>
  <si>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</si>
  <si>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</si>
  <si>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</si>
  <si>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</si>
  <si>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</si>
  <si>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</si>
  <si>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</si>
  <si>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</si>
  <si>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</si>
  <si>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</si>
  <si>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</si>
  <si>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</si>
  <si>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</si>
  <si>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</si>
  <si>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</si>
  <si>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</si>
  <si>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</si>
  <si>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</si>
  <si>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</si>
  <si>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</si>
  <si>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</si>
  <si>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</si>
  <si>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</si>
  <si>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</si>
  <si>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</si>
  <si>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</si>
  <si>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</si>
  <si>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</si>
  <si>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</si>
  <si>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</si>
  <si>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</si>
  <si>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</si>
  <si>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</si>
  <si>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</si>
  <si>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</si>
  <si>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</si>
  <si>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</si>
  <si>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</si>
  <si>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</si>
  <si>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PAIS VASCO</t>
  </si>
  <si>
    <t>Provincias</t>
  </si>
  <si>
    <t>ARABA-ALAVA</t>
  </si>
  <si>
    <t>Resumenes por Partidos Judiciales</t>
  </si>
  <si>
    <t>VITORIA-GASTEIZ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</si>
</sst>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wMCRVf0sCsonBZqfpqREuPRkTqN+J8f4TxxtCe6jShyYTG0+YFSxaxfDtn5Le/nlYDznw3cZU1rzGxQEASLJFA==" saltValue="h2fZQ86sXvvhwpvuqmfy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7</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15.652920962199312</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159</v>
      </c>
      <c r="D10" s="229">
        <f>IF(ISNUMBER(Datos!I10),Datos!I10," - ")</f>
        <v>159</v>
      </c>
      <c r="E10" s="230">
        <f>IF(ISNUMBER(Datos!J10),Datos!J10," - ")</f>
        <v>60</v>
      </c>
      <c r="F10" s="230">
        <f>IF(ISNUMBER(Datos!K10),Datos!K10," - ")</f>
        <v>39</v>
      </c>
      <c r="G10" s="1189" t="str">
        <f>IF(Datos!E10&lt;&gt;"",Datos!E10,Datos!D10)</f>
        <v>37</v>
      </c>
      <c r="H10" s="231">
        <f>IF(ISNUMBER(Datos!L10),Datos!L10," - ")</f>
        <v>180</v>
      </c>
      <c r="I10" s="1199" t="str">
        <f>IF(ISNUMBER(Datos!AS10/Datos!BM10),Datos!AS10/Datos!BM10," - ")</f>
        <v xml:space="preserve"> - </v>
      </c>
      <c r="J10" s="1200">
        <f>IF(ISNUMBER(Datos!BY10/Datos!CN10),Datos!BY10/Datos!CN10," - ")</f>
        <v>0</v>
      </c>
      <c r="K10" s="234">
        <f t="shared" ref="K10:K12" si="1">IF(ISNUMBER((E10-F10)/C10),(E10-F10)/C10," - ")</f>
        <v>0.13207547169811321</v>
      </c>
      <c r="L10" s="1201">
        <f>IF(ISNUMBER(NºAsuntos!I10/NºAsuntos!G10),(NºAsuntos!I10/NºAsuntos!G10)*11," - ")</f>
        <v>50.769230769230766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15.304906542056075</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159</v>
      </c>
      <c r="D13" s="1206">
        <f>SUBTOTAL(9,D9:D12)</f>
        <v>159</v>
      </c>
      <c r="E13" s="1207">
        <f>SUBTOTAL(9,E9:E12)</f>
        <v>60</v>
      </c>
      <c r="F13" s="1208">
        <f>SUBTOTAL(9,F9:F12)</f>
        <v>39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3045</v>
      </c>
      <c r="D15" s="229">
        <f>IF(ISNUMBER(IF(D_I="SI",Datos!I15,Datos!I15+Datos!AC15)),IF(D_I="SI",Datos!I15,Datos!I15+Datos!AC15)," - ")</f>
        <v>3045</v>
      </c>
      <c r="E15" s="230">
        <f>IF(ISNUMBER(IF(D_I="SI",Datos!J15,Datos!J15+Datos!AD15)),IF(D_I="SI",Datos!J15,Datos!J15+Datos!AD15)," - ")</f>
        <v>1971</v>
      </c>
      <c r="F15" s="230">
        <f>IF(ISNUMBER(IF(D_I="SI",Datos!K15,Datos!K15+Datos!AE15)),IF(D_I="SI",Datos!K15,Datos!K15+Datos!AE15)," - ")</f>
        <v>1705</v>
      </c>
      <c r="G15" s="1189" t="str">
        <f>IF(Datos!E15&lt;&gt;"",Datos!E15,Datos!D15)</f>
        <v>03</v>
      </c>
      <c r="H15" s="231">
        <f>IF(ISNUMBER(IF(D_I="SI",Datos!L15,Datos!L15+Datos!AF15)),IF(D_I="SI",Datos!L15,Datos!L15+Datos!AF15)," - ")</f>
        <v>3311</v>
      </c>
      <c r="I15" s="1199" t="str">
        <f>IF(ISNUMBER(Datos!AS15/Datos!BM15),Datos!AS15/Datos!BM15," - ")</f>
        <v xml:space="preserve"> - </v>
      </c>
      <c r="J15" s="1200">
        <f>IF(ISNUMBER(Datos!BY15/Datos!CN15),Datos!BY15/Datos!CN15," - ")</f>
        <v>0</v>
      </c>
      <c r="K15" s="234">
        <f t="shared" ref="K15:K17" si="3">IF(ISNUMBER((E15-F15)/C15),(E15-F15)/C15," - ")</f>
        <v>8.7356321839080459E-2</v>
      </c>
      <c r="L15" s="1201">
        <f>IF(ISNUMBER(NºAsuntos!I15/NºAsuntos!G15),(NºAsuntos!I15/NºAsuntos!G15)*11," - ")</f>
        <v>21.361290322580643</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577</v>
      </c>
      <c r="D17" s="229">
        <f>IF(ISNUMBER(IF(D_I="SI",Datos!I17,Datos!I17+Datos!AC17)),IF(D_I="SI",Datos!I17,Datos!I17+Datos!AC17)," - ")</f>
        <v>577</v>
      </c>
      <c r="E17" s="230">
        <f>IF(ISNUMBER(IF(D_I="SI",Datos!J17,Datos!J17+Datos!AD17)),IF(D_I="SI",Datos!J17,Datos!J17+Datos!AD17)," - ")</f>
        <v>403</v>
      </c>
      <c r="F17" s="230">
        <f>IF(ISNUMBER(IF(D_I="SI",Datos!K17,Datos!K17+Datos!AE17)),IF(D_I="SI",Datos!K17,Datos!K17+Datos!AE17)," - ")</f>
        <v>353</v>
      </c>
      <c r="G17" s="1189" t="str">
        <f>IF(Datos!E17&lt;&gt;"",Datos!E17,Datos!D17)</f>
        <v>37</v>
      </c>
      <c r="H17" s="231">
        <f>IF(ISNUMBER(IF(D_I="SI",Datos!L17,Datos!L17+Datos!AF17)),IF(D_I="SI",Datos!L17,Datos!L17+Datos!AF17)," - ")</f>
        <v>627</v>
      </c>
      <c r="I17" s="1199" t="str">
        <f>IF(ISNUMBER(Datos!AS17/Datos!BM17),Datos!AS17/Datos!BM17," - ")</f>
        <v xml:space="preserve"> - </v>
      </c>
      <c r="J17" s="1200" t="str">
        <f>IF(ISNUMBER((Datos!BY17+Datos!BZ17)/Datos!CN17),(Datos!BY17+Datos!BZ17)/Datos!CN17," - ")</f>
        <v xml:space="preserve"> - </v>
      </c>
      <c r="K17" s="234">
        <f t="shared" si="3"/>
        <v>8.6655112651646451E-2</v>
      </c>
      <c r="L17" s="1201">
        <f>IF(ISNUMBER(NºAsuntos!I17/NºAsuntos!G17),(NºAsuntos!I17/NºAsuntos!G17)*11," - ")</f>
        <v>19.538243626062322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3622</v>
      </c>
      <c r="D18" s="1206">
        <f>SUBTOTAL(9,D15:D17)</f>
        <v>3622</v>
      </c>
      <c r="E18" s="1207">
        <f>SUBTOTAL(9,E15:E17)</f>
        <v>2374</v>
      </c>
      <c r="F18" s="1207">
        <f>SUBTOTAL(9,F15:F17)</f>
        <v>2058</v>
      </c>
      <c r="G18" s="1209" t="str">
        <f ca="1">INDIRECT(CONCATENATE("G",ROW()-1))</f>
        <v>37</v>
      </c>
      <c r="H18" s="1210">
        <f ca="1">SUMIF(G$14:G17,G18,H$14:H17)</f>
        <v>627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3781</v>
      </c>
      <c r="D19" s="1228">
        <f>SUBTOTAL(9,D9:D18)</f>
        <v>3781</v>
      </c>
      <c r="E19" s="1229">
        <f>SUBTOTAL(9,E9:E18)</f>
        <v>2434</v>
      </c>
      <c r="F19" s="1229">
        <f>SUBTOTAL(9,F9:F18)</f>
        <v>2097</v>
      </c>
      <c r="G19" s="1230"/>
      <c r="H19" s="1231">
        <f ca="1">SUMIF(B9:B18,"TOTAL",H9:H18)</f>
        <v>627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ny6EZzATP/sonuTN5CDyUPIo8XliS7nBf62BZsmrRsrJhEnENSlixUtr+/6Z1U72srxEpxLhGd7Sv5FkxIdy8A==" saltValue="+TdAcPC+INCoBddT5HtdU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IUaA4TGWZTFD3NwAnxy3WDu87Qnkk0pnLOvPo9UUCrQ6Drcz+UkzTTrtzzao48mxSd5W5/VFy7OMf2r4KI9qrg==" saltValue="KPWwGoNqIM0X7Enb/sw/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4828</v>
      </c>
      <c r="J9" s="185">
        <v>2629</v>
      </c>
      <c r="K9" s="185">
        <v>3025</v>
      </c>
      <c r="L9" s="185">
        <v>4432</v>
      </c>
      <c r="M9" s="185">
        <v>1609</v>
      </c>
      <c r="N9" s="185">
        <v>695</v>
      </c>
      <c r="O9" s="185">
        <v>1101</v>
      </c>
      <c r="P9" s="185">
        <v>405</v>
      </c>
      <c r="Q9" s="185">
        <v>267</v>
      </c>
      <c r="R9" s="185">
        <v>6218</v>
      </c>
      <c r="S9" s="185">
        <v>2821</v>
      </c>
      <c r="T9" s="185">
        <v>2717</v>
      </c>
      <c r="U9" s="185">
        <v>2498</v>
      </c>
      <c r="V9" s="185">
        <v>3040</v>
      </c>
      <c r="W9" s="185">
        <v>1383</v>
      </c>
      <c r="X9" s="192">
        <v>504</v>
      </c>
      <c r="Y9" s="195">
        <v>121</v>
      </c>
      <c r="Z9" s="185">
        <v>178</v>
      </c>
      <c r="AA9" s="185">
        <v>176</v>
      </c>
      <c r="AB9" s="185">
        <v>123</v>
      </c>
      <c r="AC9" s="185">
        <v>0</v>
      </c>
      <c r="AD9" s="185">
        <v>0</v>
      </c>
      <c r="AE9" s="185">
        <v>0</v>
      </c>
      <c r="AF9" s="192">
        <v>0</v>
      </c>
      <c r="AG9" s="195">
        <v>101</v>
      </c>
      <c r="AH9" s="185">
        <v>184</v>
      </c>
      <c r="AI9" s="185">
        <v>184</v>
      </c>
      <c r="AJ9" s="196">
        <v>101</v>
      </c>
      <c r="AK9" s="184">
        <v>0</v>
      </c>
      <c r="AL9" s="185">
        <v>0</v>
      </c>
      <c r="AM9" s="185">
        <v>0</v>
      </c>
      <c r="AN9" s="192">
        <v>0</v>
      </c>
      <c r="AO9" s="262">
        <v>7</v>
      </c>
      <c r="AP9" s="158">
        <v>7</v>
      </c>
      <c r="AQ9" s="158">
        <v>7</v>
      </c>
      <c r="AR9" s="197">
        <v>7</v>
      </c>
      <c r="AS9" s="347" t="s">
        <v>808</v>
      </c>
      <c r="AT9" s="199"/>
      <c r="AU9" s="198"/>
      <c r="AV9" s="199"/>
      <c r="AW9" s="198"/>
      <c r="AX9" s="199"/>
      <c r="AY9" s="124">
        <f>IF(ISNUMBER(IF(J_V="SI",S9,S9+AG9)),IF(J_V="SI",S9,S9+AG9)," - ")</f>
        <v>2922</v>
      </c>
      <c r="AZ9" s="124">
        <f>IF(ISNUMBER(IF(J_V="SI",T9,T9+AH9)),IF(J_V="SI",T9,T9+AH9)," - ")</f>
        <v>2901</v>
      </c>
      <c r="BA9" s="125">
        <f>IF(ISNUMBER(IF(J_V="SI",U9,U9+AI9)),IF(J_V="SI",U9,U9+AI9)," - ")</f>
        <v>2682</v>
      </c>
      <c r="BB9" s="125">
        <f>IF(ISNUMBER(IF(J_V="SI",V9,V9+AJ9)),IF(J_V="SI",V9,V9+AJ9)," - ")</f>
        <v>3141</v>
      </c>
      <c r="BC9" s="126">
        <f>IF(ISNUMBER(X9),X9," - ")</f>
        <v>504</v>
      </c>
      <c r="BD9" s="127">
        <f>IF(ISNUMBER(BA9/AZ9),BA9/AZ9," - ")</f>
        <v>0.92450879007238884</v>
      </c>
      <c r="BE9" s="128">
        <f>IF(ISNUMBER(BB9/BA9),BB9/BA9, " - ")</f>
        <v>1.1711409395973154</v>
      </c>
      <c r="BF9" s="128">
        <f>IF(ISNUMBER(BC9/BA9),BC9/BA9, " - ")</f>
        <v>0.18791946308724833</v>
      </c>
      <c r="BG9" s="200">
        <f>IF(ISNUMBER((AY9+AZ9)/BA9),(AY9+AZ9)/BA9," - ")</f>
        <v>2.1711409395973154</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159</v>
      </c>
      <c r="J10" s="185">
        <v>60</v>
      </c>
      <c r="K10" s="185">
        <v>39</v>
      </c>
      <c r="L10" s="185">
        <v>180</v>
      </c>
      <c r="M10" s="185">
        <v>23</v>
      </c>
      <c r="N10" s="185">
        <v>37</v>
      </c>
      <c r="O10" s="185">
        <v>0</v>
      </c>
      <c r="P10" s="185">
        <v>42</v>
      </c>
      <c r="Q10" s="185">
        <v>31</v>
      </c>
      <c r="R10" s="185">
        <v>131</v>
      </c>
      <c r="S10" s="185">
        <v>141</v>
      </c>
      <c r="T10" s="185">
        <v>40</v>
      </c>
      <c r="U10" s="185">
        <v>48</v>
      </c>
      <c r="V10" s="185">
        <v>133</v>
      </c>
      <c r="W10" s="185">
        <v>20</v>
      </c>
      <c r="X10" s="192">
        <v>26</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141</v>
      </c>
      <c r="AZ10" s="130">
        <f t="shared" si="0"/>
        <v>40</v>
      </c>
      <c r="BA10" s="130">
        <f t="shared" si="0"/>
        <v>48</v>
      </c>
      <c r="BB10" s="130">
        <f t="shared" si="0"/>
        <v>133</v>
      </c>
      <c r="BC10" s="126">
        <f t="shared" si="0"/>
        <v>20</v>
      </c>
      <c r="BD10" s="127">
        <f>IF(ISNUMBER(BA10/AZ10),BA10/AZ10," - ")</f>
        <v>1.2</v>
      </c>
      <c r="BE10" s="128">
        <f>IF(ISNUMBER(BB10/BA10),BB10/BA10, " - ")</f>
        <v>2.7708333333333335</v>
      </c>
      <c r="BF10" s="128">
        <f>IF(ISNUMBER(BC10/BA10),BC10/BA10, " - ")</f>
        <v>0.41666666666666669</v>
      </c>
      <c r="BG10" s="200">
        <f>IF(ISNUMBER((AY10+AZ10)/BA10),(AY10+AZ10)/BA10," - ")</f>
        <v>3.7708333333333335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984</v>
      </c>
      <c r="J11" s="187">
        <v>616</v>
      </c>
      <c r="K11" s="187">
        <v>551</v>
      </c>
      <c r="L11" s="187">
        <v>1074</v>
      </c>
      <c r="M11" s="187">
        <v>170</v>
      </c>
      <c r="N11" s="187">
        <v>431</v>
      </c>
      <c r="O11" s="185">
        <v>245</v>
      </c>
      <c r="P11" s="187">
        <v>74</v>
      </c>
      <c r="Q11" s="187">
        <v>46</v>
      </c>
      <c r="R11" s="187">
        <v>1328</v>
      </c>
      <c r="S11" s="187">
        <v>936</v>
      </c>
      <c r="T11" s="187">
        <v>609</v>
      </c>
      <c r="U11" s="187">
        <v>552</v>
      </c>
      <c r="V11" s="187">
        <v>967</v>
      </c>
      <c r="W11" s="187">
        <v>238</v>
      </c>
      <c r="X11" s="193">
        <v>682</v>
      </c>
      <c r="Y11" s="195">
        <v>94</v>
      </c>
      <c r="Z11" s="185">
        <v>369</v>
      </c>
      <c r="AA11" s="185">
        <v>305</v>
      </c>
      <c r="AB11" s="185">
        <v>117</v>
      </c>
      <c r="AC11" s="187">
        <v>0</v>
      </c>
      <c r="AD11" s="187">
        <v>0</v>
      </c>
      <c r="AE11" s="187">
        <v>0</v>
      </c>
      <c r="AF11" s="193">
        <v>0</v>
      </c>
      <c r="AG11" s="206">
        <v>180</v>
      </c>
      <c r="AH11" s="187">
        <v>336</v>
      </c>
      <c r="AI11" s="187">
        <v>386</v>
      </c>
      <c r="AJ11" s="207">
        <v>130</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1116</v>
      </c>
      <c r="AZ11" s="128">
        <f t="shared" si="1"/>
        <v>945</v>
      </c>
      <c r="BA11" s="128">
        <f t="shared" si="1"/>
        <v>938</v>
      </c>
      <c r="BB11" s="128">
        <f t="shared" si="1"/>
        <v>1097</v>
      </c>
      <c r="BC11" s="126">
        <f>IF(ISNUMBER(X11),X11," - ")</f>
        <v>682</v>
      </c>
      <c r="BD11" s="127">
        <f t="shared" ref="BD11:BD12" si="2">IF(ISNUMBER(BA11/AZ11),BA11/AZ11," - ")</f>
        <v>0.99259259259259258</v>
      </c>
      <c r="BE11" s="128">
        <f t="shared" ref="BE11:BE12" si="3">IF(ISNUMBER(BB11/BA11),BB11/BA11, " - ")</f>
        <v>1.1695095948827292</v>
      </c>
      <c r="BF11" s="128">
        <f t="shared" ref="BF11:BF12" si="4">IF(ISNUMBER(BC11/BA11),BC11/BA11, " - ")</f>
        <v>0.72707889125799574</v>
      </c>
      <c r="BG11" s="200">
        <f t="shared" ref="BG11:BG12" si="5">IF(ISNUMBER((AY11+AZ11)/BA11),(AY11+AZ11)/BA11," - ")</f>
        <v>2.1972281449893392</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5971</v>
      </c>
      <c r="J13" s="188">
        <f t="shared" si="6"/>
        <v>3305</v>
      </c>
      <c r="K13" s="188">
        <f t="shared" si="6"/>
        <v>3615</v>
      </c>
      <c r="L13" s="188">
        <f t="shared" si="6"/>
        <v>5686</v>
      </c>
      <c r="M13" s="188">
        <f t="shared" si="6"/>
        <v>1802</v>
      </c>
      <c r="N13" s="188">
        <f t="shared" si="6"/>
        <v>1163</v>
      </c>
      <c r="O13" s="188">
        <f t="shared" si="6"/>
        <v>1346</v>
      </c>
      <c r="P13" s="188">
        <f t="shared" si="6"/>
        <v>521</v>
      </c>
      <c r="Q13" s="188">
        <f t="shared" si="6"/>
        <v>344</v>
      </c>
      <c r="R13" s="188">
        <f t="shared" si="6"/>
        <v>7677</v>
      </c>
      <c r="S13" s="188">
        <f t="shared" si="6"/>
        <v>3898</v>
      </c>
      <c r="T13" s="188">
        <f t="shared" si="6"/>
        <v>3366</v>
      </c>
      <c r="U13" s="188">
        <f t="shared" si="6"/>
        <v>3098</v>
      </c>
      <c r="V13" s="188">
        <f t="shared" si="6"/>
        <v>4140</v>
      </c>
      <c r="W13" s="188">
        <f t="shared" si="6"/>
        <v>1641</v>
      </c>
      <c r="X13" s="188">
        <f t="shared" si="6"/>
        <v>1212</v>
      </c>
      <c r="Y13" s="188">
        <f t="shared" si="6"/>
        <v>215</v>
      </c>
      <c r="Z13" s="188">
        <f t="shared" si="6"/>
        <v>547</v>
      </c>
      <c r="AA13" s="188">
        <f t="shared" si="6"/>
        <v>481</v>
      </c>
      <c r="AB13" s="188">
        <f t="shared" si="6"/>
        <v>240</v>
      </c>
      <c r="AC13" s="188">
        <f t="shared" si="6"/>
        <v>0</v>
      </c>
      <c r="AD13" s="188">
        <f t="shared" si="6"/>
        <v>0</v>
      </c>
      <c r="AE13" s="188">
        <f t="shared" si="6"/>
        <v>0</v>
      </c>
      <c r="AF13" s="188">
        <f>SUBTOTAL(9,AF9:AF12)</f>
        <v>0</v>
      </c>
      <c r="AG13" s="188">
        <f t="shared" ref="AG13:AT13" si="7">SUBTOTAL(9,AG8:AG12)</f>
        <v>281</v>
      </c>
      <c r="AH13" s="188">
        <f t="shared" si="7"/>
        <v>520</v>
      </c>
      <c r="AI13" s="188">
        <f t="shared" si="7"/>
        <v>570</v>
      </c>
      <c r="AJ13" s="188">
        <f t="shared" si="7"/>
        <v>231</v>
      </c>
      <c r="AK13" s="188">
        <f t="shared" si="7"/>
        <v>0</v>
      </c>
      <c r="AL13" s="188">
        <f t="shared" si="7"/>
        <v>0</v>
      </c>
      <c r="AM13" s="188">
        <f t="shared" si="7"/>
        <v>0</v>
      </c>
      <c r="AN13" s="188">
        <f t="shared" si="7"/>
        <v>0</v>
      </c>
      <c r="AO13" s="188">
        <f t="shared" si="7"/>
        <v>10</v>
      </c>
      <c r="AP13" s="188">
        <f t="shared" si="7"/>
        <v>10</v>
      </c>
      <c r="AQ13" s="188">
        <f t="shared" si="7"/>
        <v>10</v>
      </c>
      <c r="AR13" s="188">
        <f t="shared" si="7"/>
        <v>10</v>
      </c>
      <c r="AS13" s="188">
        <f t="shared" si="7"/>
        <v>0</v>
      </c>
      <c r="AT13" s="188">
        <f t="shared" si="7"/>
        <v>0</v>
      </c>
      <c r="AU13" s="208"/>
      <c r="AV13" s="133"/>
      <c r="AW13" s="208"/>
      <c r="AX13" s="133"/>
      <c r="AY13" s="188">
        <f>SUBTOTAL(9,AY8:AY12)</f>
        <v>4179</v>
      </c>
      <c r="AZ13" s="188">
        <f>SUBTOTAL(9,AZ8:AZ12)</f>
        <v>3886</v>
      </c>
      <c r="BA13" s="188">
        <f>SUBTOTAL(9,BA8:BA12)</f>
        <v>3668</v>
      </c>
      <c r="BB13" s="188">
        <f>SUBTOTAL(9,BB8:BB12)</f>
        <v>4371</v>
      </c>
      <c r="BC13" s="188">
        <f>SUBTOTAL(9,BC8:BC12)</f>
        <v>1206</v>
      </c>
      <c r="BD13" s="209">
        <f>IF(ISNUMBER(BA13/AZ13),BA13/AZ13," - ")</f>
        <v>0.94390118373649001</v>
      </c>
      <c r="BE13" s="210">
        <f>IF(ISNUMBER(BB13/BA13),BB13/BA13, " - ")</f>
        <v>1.1916575790621593</v>
      </c>
      <c r="BF13" s="210">
        <f>IF(ISNUMBER(BC13/BA13),BC13/BA13, " - ")</f>
        <v>0.3287895310796074</v>
      </c>
      <c r="BG13" s="211">
        <f>IF(ISNUMBER((AY13+AZ13)/BA13),(AY13+AZ13)/BA13," - ")</f>
        <v>2.1987459105779719</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3045</v>
      </c>
      <c r="J15" s="187">
        <v>1971</v>
      </c>
      <c r="K15" s="187">
        <v>1705</v>
      </c>
      <c r="L15" s="187">
        <v>3311</v>
      </c>
      <c r="M15" s="187">
        <v>526</v>
      </c>
      <c r="N15" s="187">
        <v>683</v>
      </c>
      <c r="O15" s="185">
        <v>31</v>
      </c>
      <c r="P15" s="187">
        <v>187</v>
      </c>
      <c r="Q15" s="187">
        <v>236</v>
      </c>
      <c r="R15" s="187">
        <v>809</v>
      </c>
      <c r="S15" s="187">
        <v>2751</v>
      </c>
      <c r="T15" s="187">
        <v>2191</v>
      </c>
      <c r="U15" s="187">
        <v>2309</v>
      </c>
      <c r="V15" s="187">
        <v>2731</v>
      </c>
      <c r="W15" s="187">
        <v>709</v>
      </c>
      <c r="X15" s="193">
        <v>877</v>
      </c>
      <c r="Y15" s="206">
        <v>0</v>
      </c>
      <c r="Z15" s="187">
        <v>0</v>
      </c>
      <c r="AA15" s="187">
        <v>0</v>
      </c>
      <c r="AB15" s="187">
        <v>0</v>
      </c>
      <c r="AC15" s="187">
        <v>0</v>
      </c>
      <c r="AD15" s="187">
        <v>21</v>
      </c>
      <c r="AE15" s="187">
        <v>21</v>
      </c>
      <c r="AF15" s="193">
        <v>0</v>
      </c>
      <c r="AG15" s="206">
        <v>0</v>
      </c>
      <c r="AH15" s="187">
        <v>0</v>
      </c>
      <c r="AI15" s="187">
        <v>0</v>
      </c>
      <c r="AJ15" s="207">
        <v>0</v>
      </c>
      <c r="AK15" s="186">
        <v>0</v>
      </c>
      <c r="AL15" s="187">
        <v>40</v>
      </c>
      <c r="AM15" s="187">
        <v>40</v>
      </c>
      <c r="AN15" s="193">
        <v>0</v>
      </c>
      <c r="AO15" s="263">
        <v>4</v>
      </c>
      <c r="AP15" s="159">
        <v>4</v>
      </c>
      <c r="AQ15" s="159">
        <v>4</v>
      </c>
      <c r="AR15" s="159">
        <v>4</v>
      </c>
      <c r="AS15" s="349" t="s">
        <v>531</v>
      </c>
      <c r="AT15" s="207" t="s">
        <v>329</v>
      </c>
      <c r="AU15" s="206"/>
      <c r="AV15" s="207"/>
      <c r="AW15" s="206"/>
      <c r="AX15" s="207"/>
      <c r="AY15" s="129">
        <f t="shared" ref="AY15:BB16" si="9">IF(ISNUMBER(IF(D_I="SI",S15,S15+AK15)),IF(D_I="SI",S15,S15+AK15)," - ")</f>
        <v>2751</v>
      </c>
      <c r="AZ15" s="130">
        <f t="shared" si="9"/>
        <v>2191</v>
      </c>
      <c r="BA15" s="130">
        <f t="shared" si="9"/>
        <v>2309</v>
      </c>
      <c r="BB15" s="130">
        <f t="shared" si="9"/>
        <v>2731</v>
      </c>
      <c r="BC15" s="126">
        <f>IF(ISNUMBER(W15),W15," - ")</f>
        <v>709</v>
      </c>
      <c r="BD15" s="127">
        <f>IF(ISNUMBER(BA15/AZ15),BA15/AZ15," - ")</f>
        <v>1.0538566864445458</v>
      </c>
      <c r="BE15" s="128">
        <f>IF(ISNUMBER(BB15/BA15),BB15/BA15, " - ")</f>
        <v>1.1827631009094846</v>
      </c>
      <c r="BF15" s="128">
        <f>IF(ISNUMBER(BC15/BA15),BC15/BA15, " - ")</f>
        <v>0.30705933304460803</v>
      </c>
      <c r="BG15" s="200">
        <f t="shared" ref="BG15:BG16" si="10">IF(ISNUMBER((AY15+AZ15)/BA15),(AY15+AZ15)/BA15," - ")</f>
        <v>2.1403204850584667</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577</v>
      </c>
      <c r="J17" s="187">
        <v>403</v>
      </c>
      <c r="K17" s="187">
        <v>353</v>
      </c>
      <c r="L17" s="187">
        <v>627</v>
      </c>
      <c r="M17" s="187">
        <v>62</v>
      </c>
      <c r="N17" s="187">
        <v>150</v>
      </c>
      <c r="O17" s="187">
        <v>0</v>
      </c>
      <c r="P17" s="187">
        <v>2</v>
      </c>
      <c r="Q17" s="187">
        <v>2</v>
      </c>
      <c r="R17" s="187">
        <v>3</v>
      </c>
      <c r="S17" s="187">
        <v>559</v>
      </c>
      <c r="T17" s="187">
        <v>443</v>
      </c>
      <c r="U17" s="187">
        <v>494</v>
      </c>
      <c r="V17" s="187">
        <v>524</v>
      </c>
      <c r="W17" s="187">
        <v>54</v>
      </c>
      <c r="X17" s="193">
        <v>147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559</v>
      </c>
      <c r="AZ17" s="130">
        <f t="shared" si="14"/>
        <v>443</v>
      </c>
      <c r="BA17" s="130">
        <f t="shared" si="14"/>
        <v>494</v>
      </c>
      <c r="BB17" s="130">
        <f t="shared" si="14"/>
        <v>524</v>
      </c>
      <c r="BC17" s="126">
        <f>IF(ISNUMBER(W17),W17," - ")</f>
        <v>54</v>
      </c>
      <c r="BD17" s="127">
        <f>IF(ISNUMBER(BA17/AZ17),BA17/AZ17," - ")</f>
        <v>1.1151241534988714</v>
      </c>
      <c r="BE17" s="128">
        <f>IF(ISNUMBER(BB17/BA17),BB17/BA17, " - ")</f>
        <v>1.0607287449392713</v>
      </c>
      <c r="BF17" s="128">
        <f>IF(ISNUMBER(BC17/BA17),BC17/BA17, " - ")</f>
        <v>0.10931174089068826</v>
      </c>
      <c r="BG17" s="200">
        <f>IF(ISNUMBER((AY17+AZ17)/BA17),(AY17+AZ17)/BA17," - ")</f>
        <v>2.0283400809716601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3622</v>
      </c>
      <c r="J18" s="188">
        <f t="shared" si="15"/>
        <v>2374</v>
      </c>
      <c r="K18" s="188">
        <f t="shared" si="15"/>
        <v>2058</v>
      </c>
      <c r="L18" s="188">
        <f t="shared" si="15"/>
        <v>3938</v>
      </c>
      <c r="M18" s="188">
        <f t="shared" si="15"/>
        <v>588</v>
      </c>
      <c r="N18" s="188">
        <f t="shared" si="15"/>
        <v>833</v>
      </c>
      <c r="O18" s="188">
        <f t="shared" si="15"/>
        <v>31</v>
      </c>
      <c r="P18" s="188">
        <f t="shared" si="15"/>
        <v>189</v>
      </c>
      <c r="Q18" s="188">
        <f t="shared" si="15"/>
        <v>238</v>
      </c>
      <c r="R18" s="188">
        <f t="shared" si="15"/>
        <v>812</v>
      </c>
      <c r="S18" s="188">
        <f t="shared" si="15"/>
        <v>3310</v>
      </c>
      <c r="T18" s="188">
        <f t="shared" si="15"/>
        <v>2634</v>
      </c>
      <c r="U18" s="188">
        <f t="shared" si="15"/>
        <v>2803</v>
      </c>
      <c r="V18" s="188">
        <f t="shared" si="15"/>
        <v>3255</v>
      </c>
      <c r="W18" s="188">
        <f t="shared" si="15"/>
        <v>763</v>
      </c>
      <c r="X18" s="188">
        <f t="shared" si="15"/>
        <v>1024</v>
      </c>
      <c r="Y18" s="188">
        <f t="shared" si="15"/>
        <v>0</v>
      </c>
      <c r="Z18" s="188">
        <f t="shared" si="15"/>
        <v>0</v>
      </c>
      <c r="AA18" s="188">
        <f t="shared" si="15"/>
        <v>0</v>
      </c>
      <c r="AB18" s="188">
        <f t="shared" si="15"/>
        <v>0</v>
      </c>
      <c r="AC18" s="188">
        <f t="shared" si="15"/>
        <v>0</v>
      </c>
      <c r="AD18" s="188">
        <f t="shared" si="15"/>
        <v>21</v>
      </c>
      <c r="AE18" s="188">
        <f t="shared" si="15"/>
        <v>21</v>
      </c>
      <c r="AF18" s="188">
        <f t="shared" si="15"/>
        <v>0</v>
      </c>
      <c r="AG18" s="188">
        <f t="shared" si="15"/>
        <v>0</v>
      </c>
      <c r="AH18" s="188">
        <f t="shared" si="15"/>
        <v>0</v>
      </c>
      <c r="AI18" s="188">
        <f t="shared" si="15"/>
        <v>0</v>
      </c>
      <c r="AJ18" s="188">
        <f t="shared" si="15"/>
        <v>0</v>
      </c>
      <c r="AK18" s="188">
        <f t="shared" si="15"/>
        <v>0</v>
      </c>
      <c r="AL18" s="188">
        <f t="shared" si="15"/>
        <v>40</v>
      </c>
      <c r="AM18" s="188">
        <f t="shared" si="15"/>
        <v>40</v>
      </c>
      <c r="AN18" s="188">
        <f t="shared" si="15"/>
        <v>0</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3310</v>
      </c>
      <c r="AZ18" s="188">
        <f>SUBTOTAL(9,AZ14:AZ17)</f>
        <v>2634</v>
      </c>
      <c r="BA18" s="188">
        <f>SUBTOTAL(9,BA14:BA17)</f>
        <v>2803</v>
      </c>
      <c r="BB18" s="188">
        <f>SUBTOTAL(9,BB14:BB17)</f>
        <v>3255</v>
      </c>
      <c r="BC18" s="188">
        <f>SUBTOTAL(9,BC14:BC17)</f>
        <v>763</v>
      </c>
      <c r="BD18" s="209">
        <f>IF(ISNUMBER(BA18/AZ18),BA18/AZ18," - ")</f>
        <v>1.0641609719058467</v>
      </c>
      <c r="BE18" s="210">
        <f>IF(ISNUMBER(BB18/BA18),BB18/BA18, " - ")</f>
        <v>1.1612557973599715</v>
      </c>
      <c r="BF18" s="210">
        <f>IF(ISNUMBER(BC18/BA18),BC18/BA18, " - ")</f>
        <v>0.27220834819835887</v>
      </c>
      <c r="BG18" s="211">
        <f>IF(ISNUMBER((AY18+AZ18)/BA18),(AY18+AZ18)/BA18," - ")</f>
        <v>2.1205850874063503</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9593</v>
      </c>
      <c r="J19" s="135">
        <f t="shared" si="18"/>
        <v>5679</v>
      </c>
      <c r="K19" s="135">
        <f t="shared" si="18"/>
        <v>5673</v>
      </c>
      <c r="L19" s="135">
        <f t="shared" si="18"/>
        <v>9624</v>
      </c>
      <c r="M19" s="135">
        <f t="shared" si="18"/>
        <v>2390</v>
      </c>
      <c r="N19" s="135">
        <f t="shared" si="18"/>
        <v>1996</v>
      </c>
      <c r="O19" s="135">
        <f t="shared" si="18"/>
        <v>1377</v>
      </c>
      <c r="P19" s="135">
        <f t="shared" si="18"/>
        <v>710</v>
      </c>
      <c r="Q19" s="135">
        <f t="shared" si="18"/>
        <v>582</v>
      </c>
      <c r="R19" s="135">
        <f t="shared" si="18"/>
        <v>8489</v>
      </c>
      <c r="S19" s="135">
        <f t="shared" si="18"/>
        <v>7208</v>
      </c>
      <c r="T19" s="135">
        <f t="shared" si="18"/>
        <v>6000</v>
      </c>
      <c r="U19" s="135">
        <f t="shared" si="18"/>
        <v>5901</v>
      </c>
      <c r="V19" s="135">
        <f t="shared" si="18"/>
        <v>7395</v>
      </c>
      <c r="W19" s="135">
        <f t="shared" si="18"/>
        <v>2404</v>
      </c>
      <c r="X19" s="135">
        <f t="shared" si="18"/>
        <v>2236</v>
      </c>
      <c r="Y19" s="135">
        <f t="shared" si="18"/>
        <v>215</v>
      </c>
      <c r="Z19" s="135">
        <f t="shared" si="18"/>
        <v>547</v>
      </c>
      <c r="AA19" s="135">
        <f t="shared" si="18"/>
        <v>481</v>
      </c>
      <c r="AB19" s="135">
        <f t="shared" si="18"/>
        <v>240</v>
      </c>
      <c r="AC19" s="135">
        <f t="shared" si="18"/>
        <v>0</v>
      </c>
      <c r="AD19" s="135">
        <f t="shared" si="18"/>
        <v>21</v>
      </c>
      <c r="AE19" s="135">
        <f t="shared" si="18"/>
        <v>21</v>
      </c>
      <c r="AF19" s="135">
        <f t="shared" si="18"/>
        <v>0</v>
      </c>
      <c r="AG19" s="135">
        <f t="shared" si="18"/>
        <v>281</v>
      </c>
      <c r="AH19" s="135">
        <f t="shared" si="18"/>
        <v>520</v>
      </c>
      <c r="AI19" s="135">
        <f t="shared" si="18"/>
        <v>570</v>
      </c>
      <c r="AJ19" s="135">
        <f t="shared" si="18"/>
        <v>231</v>
      </c>
      <c r="AK19" s="135">
        <f t="shared" si="18"/>
        <v>0</v>
      </c>
      <c r="AL19" s="135">
        <f t="shared" si="18"/>
        <v>40</v>
      </c>
      <c r="AM19" s="135">
        <f t="shared" si="18"/>
        <v>40</v>
      </c>
      <c r="AN19" s="214">
        <f t="shared" si="18"/>
        <v>0</v>
      </c>
      <c r="AO19" s="215">
        <v>14</v>
      </c>
      <c r="AP19" s="215">
        <v>14</v>
      </c>
      <c r="AQ19" s="215">
        <v>14</v>
      </c>
      <c r="AR19" s="215">
        <v>14</v>
      </c>
      <c r="AS19" s="157">
        <f t="shared" si="18"/>
        <v>0</v>
      </c>
      <c r="AT19" s="157">
        <f t="shared" si="18"/>
        <v>0</v>
      </c>
      <c r="AU19" s="215"/>
      <c r="AV19" s="216"/>
      <c r="AW19" s="215"/>
      <c r="AX19" s="216"/>
      <c r="AY19" s="134">
        <f>SUBTOTAL(9,AY9:AY18)</f>
        <v>7489</v>
      </c>
      <c r="AZ19" s="135">
        <f>SUBTOTAL(9,AZ9:AZ18)</f>
        <v>6520</v>
      </c>
      <c r="BA19" s="135">
        <f>SUBTOTAL(9,BA9:BA18)</f>
        <v>6471</v>
      </c>
      <c r="BB19" s="135">
        <f>SUBTOTAL(9,BB9:BB18)</f>
        <v>7626</v>
      </c>
      <c r="BC19" s="136">
        <f>SUBTOTAL(9,BC9:BC18)</f>
        <v>1969</v>
      </c>
      <c r="BD19" s="217">
        <f>IF(ISNUMBER(BA19/AZ19),BA19/AZ19," - ")</f>
        <v>0.9924846625766871</v>
      </c>
      <c r="BE19" s="214">
        <f>IF(ISNUMBER(BB19/BA19),BB19/BA19, " - ")</f>
        <v>1.1784886416318963</v>
      </c>
      <c r="BF19" s="214">
        <f>IF(ISNUMBER(BC19/BA19),BC19/BA19, " - ")</f>
        <v>0.30428063668675631</v>
      </c>
      <c r="BG19" s="136">
        <f>IF(ISNUMBER((AY19+AZ19)/BA19),(AY19+AZ19)/BA19," - ")</f>
        <v>2.1648895070313707</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xIhzG1Ghi5yDeLrSWuLsKEKDpdCF2qT4N6kLjmuavkchmxhhSect/JkENbu+ymPzvfKctFA5pg7n/sfktbLnQ==" saltValue="UDmZQWcNas7IE0uV+Rzw5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D83+/AbWgQRmc8aOR6+Wh1RTousoor5j6ZiVBx0n28tLpIdwKyE47Juuqt6sQuqrlEy78D18OujL4ft0H+egw==" saltValue="yijGjly4X0JAqG0/6cHS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ARABA-ALAVA  Resumenes por Partidos Judiciales  VITORIA-GASTEIZ</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7</v>
      </c>
      <c r="B9" s="652" t="s">
        <v>249</v>
      </c>
      <c r="C9" s="670" t="str">
        <f>Datos!A9</f>
        <v xml:space="preserve">Jdos. 1ª Instancia   </v>
      </c>
      <c r="D9" s="543"/>
      <c r="E9" s="669">
        <f>IF(ISNUMBER(Datos!AQ9),Datos!AQ9," - ")</f>
        <v>7</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178</v>
      </c>
      <c r="O9" s="503"/>
      <c r="P9" s="503"/>
      <c r="Q9" s="501">
        <f>IF(ISNUMBER(Datos!P9),Datos!P9,0)</f>
        <v>405</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267</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123</v>
      </c>
      <c r="AI9" s="503" t="str">
        <f>IF(ISNUMBER(Datos!CD9),Datos!CD9,"-")</f>
        <v>-</v>
      </c>
      <c r="AJ9" s="503" t="str">
        <f>IF(ISNUMBER(Datos!EN9),Datos!EN9," - ")</f>
        <v xml:space="preserve"> - </v>
      </c>
      <c r="AK9" s="503"/>
      <c r="AL9" s="504"/>
      <c r="AM9" s="671">
        <f>IF(ISNUMBER(Datos!R9),Datos!R9," - ")</f>
        <v>6218</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1609</v>
      </c>
      <c r="BD9" s="619">
        <f>IF(ISNUMBER(Datos!N9),Datos!N9," - ")</f>
        <v>695</v>
      </c>
      <c r="BE9" s="619" t="str">
        <f>IF(ISNUMBER(Datos!BW9),Datos!BW9," - ")</f>
        <v xml:space="preserve"> - </v>
      </c>
      <c r="BF9" s="667" t="str">
        <f>IF(ISNUMBER(Datos!BX9),Datos!BX9," - ")</f>
        <v xml:space="preserve"> - </v>
      </c>
      <c r="BG9" s="668">
        <f>IF(ISNUMBER(IF(J_V="SI",Datos!K9/Datos!J9,(Datos!K9+Datos!AA9)/(Datos!J9+Datos!Z9))),IF(J_V="SI",Datos!K9/Datos!J9,(Datos!K9+Datos!AA9)/(Datos!J9+Datos!Z9))," - ")</f>
        <v>1.1403633772711079</v>
      </c>
      <c r="BH9" s="669">
        <f>IF(ISNUMBER(((IF(J_V="SI",Datos!L9/Datos!K9,(Datos!L9+Datos!AB9)/(Datos!K9+Datos!AA9)))*11)/factor_trimestre),((IF(J_V="SI",Datos!L9/Datos!K9,(Datos!L9+Datos!AB9)/(Datos!K9+Datos!AA9)))*11)/factor_trimestre," - ")</f>
        <v>4.2689784442361765</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2.2697368421052633E-2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159</v>
      </c>
      <c r="G10" s="497">
        <f>IF(ISNUMBER(Datos!I10),Datos!I10," - ")</f>
        <v>159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39</v>
      </c>
      <c r="AC10" s="501">
        <f>IF(ISNUMBER(Datos!Q10),Datos!Q10," - ")</f>
        <v>31</v>
      </c>
      <c r="AD10" s="503"/>
      <c r="AE10" s="516"/>
      <c r="AF10" s="505">
        <f>IF(ISNUMBER(Datos!L10),Datos!L10,"-")</f>
        <v>180</v>
      </c>
      <c r="AG10" s="503"/>
      <c r="AH10" s="503"/>
      <c r="AI10" s="503"/>
      <c r="AJ10" s="503"/>
      <c r="AK10" s="503"/>
      <c r="AL10" s="504"/>
      <c r="AM10" s="671">
        <f>IF(ISNUMBER(Datos!R10),Datos!R10," - ")</f>
        <v>131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23</v>
      </c>
      <c r="BD10" s="619">
        <f>IF(ISNUMBER(Datos!N10),Datos!N10," - ")</f>
        <v>37</v>
      </c>
      <c r="BE10" s="619" t="str">
        <f>IF(ISNUMBER(Datos!BW10),Datos!BW10," - ")</f>
        <v xml:space="preserve"> - </v>
      </c>
      <c r="BF10" s="667" t="str">
        <f>IF(ISNUMBER(Datos!BX10),Datos!BX10," - ")</f>
        <v xml:space="preserve"> - </v>
      </c>
      <c r="BG10" s="668">
        <f>IF(ISNUMBER(Datos!K10/Datos!J10),Datos!K10/Datos!J10," - ")</f>
        <v>0.65</v>
      </c>
      <c r="BH10" s="669">
        <f>IF(ISNUMBER(((Datos!L10/Datos!K10)*11)/factor_trimestre),((Datos!L10/Datos!K10)*11)/factor_trimestre," - ")</f>
        <v>13.846153846153847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9.166666666666666E-2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369</v>
      </c>
      <c r="O11" s="503"/>
      <c r="P11" s="503"/>
      <c r="Q11" s="501">
        <f>IF(ISNUMBER(Datos!P11),Datos!P11,0)</f>
        <v>74</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46</v>
      </c>
      <c r="AD11" s="503"/>
      <c r="AE11" s="516"/>
      <c r="AF11" s="505" t="str">
        <f>IF(ISNUMBER(IF(J_V="SI",Datos!L11,Datos!L11+Datos!AB11)-IF(Monitorios="SI",Datos!CD11,0)),
                          IF(J_V="SI",Datos!L11,Datos!L11+Datos!AB11)-IF(Monitorios="SI",Datos!CD11,0),
                          " - ")</f>
        <v xml:space="preserve"> - </v>
      </c>
      <c r="AG11" s="503"/>
      <c r="AH11" s="503">
        <f>IF(ISNUMBER(Datos!AB11),Datos!AB11,"-")</f>
        <v>117</v>
      </c>
      <c r="AI11" s="503"/>
      <c r="AJ11" s="503"/>
      <c r="AK11" s="503"/>
      <c r="AL11" s="504"/>
      <c r="AM11" s="671">
        <f>IF(ISNUMBER(Datos!R11),Datos!R11," - ")</f>
        <v>1328</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170</v>
      </c>
      <c r="BD11" s="619">
        <f>IF(ISNUMBER(Datos!N11),Datos!N11," - ")</f>
        <v>431</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0.86903553299492386</v>
      </c>
      <c r="BH11" s="669">
        <f>IF(ISNUMBER(((IF(J_V="SI",Datos!L11/Datos!K11,(Datos!L11+Datos!AB11)/(Datos!K11+Datos!AA11)))*11)/factor_trimestre),((IF(J_V="SI",Datos!L11/Datos!K11,(Datos!L11+Datos!AB11)/(Datos!K11+Datos!AA11)))*11)/factor_trimestre," - ")</f>
        <v>4.1740654205607477</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2.1538461538461538E-2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10</v>
      </c>
      <c r="F13" s="1044">
        <f t="shared" si="0"/>
        <v>159</v>
      </c>
      <c r="G13" s="1044">
        <f t="shared" si="0"/>
        <v>159</v>
      </c>
      <c r="H13" s="1045">
        <f t="shared" si="0"/>
        <v>0</v>
      </c>
      <c r="I13" s="1044">
        <f t="shared" si="0"/>
        <v>0</v>
      </c>
      <c r="J13" s="1013">
        <f t="shared" si="0"/>
        <v>0</v>
      </c>
      <c r="K13" s="1013">
        <f t="shared" si="0"/>
        <v>0</v>
      </c>
      <c r="L13" s="1045">
        <f t="shared" si="0"/>
        <v>0</v>
      </c>
      <c r="M13" s="1045">
        <f t="shared" si="0"/>
        <v>0</v>
      </c>
      <c r="N13" s="1045">
        <f t="shared" si="0"/>
        <v>547</v>
      </c>
      <c r="O13" s="1046">
        <f t="shared" si="0"/>
        <v>0</v>
      </c>
      <c r="P13" s="1046">
        <f t="shared" si="0"/>
        <v>0</v>
      </c>
      <c r="Q13" s="1045">
        <f t="shared" si="0"/>
        <v>521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39</v>
      </c>
      <c r="AC13" s="1045">
        <f t="shared" si="1"/>
        <v>344</v>
      </c>
      <c r="AD13" s="1045">
        <f t="shared" si="1"/>
        <v>0</v>
      </c>
      <c r="AE13" s="1045">
        <f t="shared" si="1"/>
        <v>0</v>
      </c>
      <c r="AF13" s="1045">
        <f t="shared" si="1"/>
        <v>180</v>
      </c>
      <c r="AG13" s="1045">
        <f t="shared" si="1"/>
        <v>0</v>
      </c>
      <c r="AH13" s="1045">
        <f t="shared" si="1"/>
        <v>240</v>
      </c>
      <c r="AI13" s="1045">
        <f t="shared" si="1"/>
        <v>0</v>
      </c>
      <c r="AJ13" s="1045">
        <f t="shared" si="1"/>
        <v>0</v>
      </c>
      <c r="AK13" s="1045">
        <f t="shared" si="1"/>
        <v>0</v>
      </c>
      <c r="AL13" s="1045">
        <f t="shared" si="1"/>
        <v>0</v>
      </c>
      <c r="AM13" s="1045">
        <f t="shared" si="1"/>
        <v>7677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1802</v>
      </c>
      <c r="BD13" s="1045">
        <f t="shared" si="1"/>
        <v>1163</v>
      </c>
      <c r="BE13" s="1045">
        <f t="shared" si="1"/>
        <v>0</v>
      </c>
      <c r="BF13" s="1045">
        <f t="shared" si="1"/>
        <v>0</v>
      </c>
      <c r="BG13" s="1045">
        <f>IF(ISNUMBER(Datos!K13/Datos!J13),Datos!K13/Datos!J13," - ")</f>
        <v>1.0937972768532527</v>
      </c>
      <c r="BH13" s="1049">
        <f>IF(ISNUMBER(((Datos!L13/Datos!K13)*11)/factor_trimestre),((Datos!L13/Datos!K13)*11)/factor_trimestre," - ")</f>
        <v>4.7186721991701246</v>
      </c>
      <c r="BI13" s="1045">
        <f>IF(ISNUMBER('Resol  Asuntos'!D13/NºAsuntos!G13),'Resol  Asuntos'!D13/NºAsuntos!G13," - ")</f>
        <v>0.43994140625</v>
      </c>
      <c r="BJ13" s="1045" t="str">
        <f>IF(ISNUMBER(Datos!CI13/Datos!CJ13),Datos!CI13/Datos!CJ13," - ")</f>
        <v xml:space="preserve"> - </v>
      </c>
      <c r="BK13" s="1045">
        <f>SUBTOTAL(9,BK8:BK12)</f>
        <v>0</v>
      </c>
      <c r="BL13" s="1045">
        <f>IF(ISNUMBER((I13-AB13+L13)/(F13)),(I13-AB13+L13)/(F13)," - ")</f>
        <v>-0.24528301886792453</v>
      </c>
      <c r="BM13" s="1050">
        <f>SUBTOTAL(9,BM9:BM12)</f>
        <v>0.13590249662618084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3045</v>
      </c>
      <c r="G15" s="650">
        <f>IF(ISNUMBER(IF(D_I="SI",Datos!I15,Datos!I15+Datos!AC15)),IF(D_I="SI",Datos!I15,Datos!I15+Datos!AC15)," - ")</f>
        <v>3045</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187</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1705</v>
      </c>
      <c r="AC15" s="230">
        <f>IF(ISNUMBER(Datos!Q15),Datos!Q15," - ")</f>
        <v>236</v>
      </c>
      <c r="AD15" s="343"/>
      <c r="AE15" s="515"/>
      <c r="AF15" s="648">
        <f>IF(ISNUMBER(IF(D_I="SI",Datos!L15,Datos!L15+Datos!AF15)),IF(D_I="SI",Datos!L15,Datos!L15+Datos!AF15)," - ")</f>
        <v>3311</v>
      </c>
      <c r="AG15" s="343"/>
      <c r="AH15" s="343"/>
      <c r="AI15" s="343"/>
      <c r="AJ15" s="503"/>
      <c r="AK15" s="343"/>
      <c r="AL15" s="499"/>
      <c r="AM15" s="344">
        <f>IF(ISNUMBER(Datos!R15),Datos!R15," - ")</f>
        <v>809</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526</v>
      </c>
      <c r="BD15" s="233">
        <f>IF(ISNUMBER(Datos!N15),Datos!N15," - ")</f>
        <v>683</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0.86504312531709793</v>
      </c>
      <c r="BH15" s="669">
        <f>IF(ISNUMBER(((IF(D_I="SI",Datos!L15/Datos!K15,(Datos!L15+Datos!AF15)/(Datos!K15+Datos!AE15)))*11)/factor_trimestre),((IF(D_I="SI",Datos!L15/Datos!K15,(Datos!L15+Datos!AF15)/(Datos!K15+Datos!AE15)))*11)/factor_trimestre," - ")</f>
        <v>5.8258064516129027</v>
      </c>
      <c r="BI15" s="247">
        <f>IF(ISNUMBER('Resol  Asuntos'!D15/NºAsuntos!G15),'Resol  Asuntos'!D15/NºAsuntos!G15," - ")</f>
        <v>0.3085043988269795</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577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353</v>
      </c>
      <c r="AC17" s="501">
        <f>IF(ISNUMBER(Datos!Q17),Datos!Q17," - ")</f>
        <v>2</v>
      </c>
      <c r="AD17" s="503"/>
      <c r="AE17" s="515"/>
      <c r="AF17" s="505">
        <f>IF(ISNUMBER(Datos!L17),Datos!L17,"-")</f>
        <v>627</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62</v>
      </c>
      <c r="BD17" s="619">
        <f>IF(ISNUMBER(Datos!N17),Datos!N17," - ")</f>
        <v>150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0.87593052109181146</v>
      </c>
      <c r="BH17" s="669">
        <f>IF(ISNUMBER(((IF(D_I="SI",Datos!L17/Datos!K17,(Datos!L17+Datos!AF17)/(Datos!K17+Datos!AE17)))*11)/factor_trimestre),((IF(D_I="SI",Datos!L17/Datos!K17,(Datos!L17+Datos!AF17)/(Datos!K17+Datos!AE17)))*11)/factor_trimestre," - ")</f>
        <v>5.3286118980169972</v>
      </c>
      <c r="BI17" s="668">
        <f>IF(ISNUMBER('Resol  Asuntos'!D17/NºAsuntos!G17),'Resol  Asuntos'!D17/NºAsuntos!G17," - ")</f>
        <v>0.17563739376770537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3045</v>
      </c>
      <c r="G18" s="1044">
        <f>SUBTOTAL(9,G15:G17)</f>
        <v>3622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189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2058</v>
      </c>
      <c r="AC18" s="1045">
        <f t="shared" si="4"/>
        <v>238</v>
      </c>
      <c r="AD18" s="1045">
        <f t="shared" si="4"/>
        <v>0</v>
      </c>
      <c r="AE18" s="1045">
        <f t="shared" si="4"/>
        <v>0</v>
      </c>
      <c r="AF18" s="1045">
        <f t="shared" si="4"/>
        <v>3938</v>
      </c>
      <c r="AG18" s="1045">
        <f t="shared" si="4"/>
        <v>0</v>
      </c>
      <c r="AH18" s="1045">
        <f t="shared" si="4"/>
        <v>0</v>
      </c>
      <c r="AI18" s="1045">
        <f t="shared" si="4"/>
        <v>0</v>
      </c>
      <c r="AJ18" s="1045">
        <f t="shared" si="4"/>
        <v>0</v>
      </c>
      <c r="AK18" s="1045">
        <f t="shared" si="4"/>
        <v>0</v>
      </c>
      <c r="AL18" s="1045">
        <f t="shared" si="4"/>
        <v>0</v>
      </c>
      <c r="AM18" s="1045">
        <f t="shared" si="4"/>
        <v>812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588</v>
      </c>
      <c r="BD18" s="1045">
        <f t="shared" si="4"/>
        <v>833</v>
      </c>
      <c r="BE18" s="1045">
        <f t="shared" si="4"/>
        <v>0</v>
      </c>
      <c r="BF18" s="1045">
        <f t="shared" si="4"/>
        <v>0</v>
      </c>
      <c r="BG18" s="1045">
        <f>IF(ISNUMBER(Datos!K18/Datos!J18),Datos!K18/Datos!J18," - ")</f>
        <v>0.8668913226621735</v>
      </c>
      <c r="BH18" s="1049">
        <f>IF(ISNUMBER(((Datos!L18/Datos!K18)*11)/factor_trimestre),((Datos!L18/Datos!K18)*11)/factor_trimestre," - ")</f>
        <v>5.740524781341108</v>
      </c>
      <c r="BI18" s="1045">
        <f>SUBTOTAL(9,BI15:BI17)</f>
        <v>0.48414179259468487</v>
      </c>
      <c r="BJ18" s="1045">
        <f>SUBTOTAL(9,BJ15:BJ17)</f>
        <v>0</v>
      </c>
      <c r="BK18" s="1045">
        <f>SUBTOTAL(9,BK15:BK17)</f>
        <v>0</v>
      </c>
      <c r="BL18" s="1045">
        <f>IF(ISNUMBER((I18-AB18+L18)/(F18)),(I18-AB18+L18)/(F18)," - ")</f>
        <v>-0.67586206896551726</v>
      </c>
      <c r="BM18" s="1051">
        <f>IF(ISNUMBER((Datos!P18-Datos!Q18)/(Datos!R18-Datos!P18+Datos!Q18)),(Datos!P18-Datos!Q18)/(Datos!R18-Datos!P18+Datos!Q18)," - ")</f>
        <v>-5.6910569105691054E-2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15</v>
      </c>
      <c r="F19" s="966">
        <f t="shared" si="6"/>
        <v>3204</v>
      </c>
      <c r="G19" s="966">
        <f t="shared" si="6"/>
        <v>3781</v>
      </c>
      <c r="H19" s="968">
        <f t="shared" si="6"/>
        <v>0</v>
      </c>
      <c r="I19" s="966">
        <f t="shared" si="6"/>
        <v>0</v>
      </c>
      <c r="J19" s="968">
        <f t="shared" si="6"/>
        <v>0</v>
      </c>
      <c r="K19" s="968">
        <f t="shared" si="6"/>
        <v>0</v>
      </c>
      <c r="L19" s="1027">
        <f t="shared" si="6"/>
        <v>0</v>
      </c>
      <c r="M19" s="1027">
        <f t="shared" si="6"/>
        <v>0</v>
      </c>
      <c r="N19" s="1027">
        <f t="shared" si="6"/>
        <v>547</v>
      </c>
      <c r="O19" s="1027">
        <f t="shared" si="6"/>
        <v>0</v>
      </c>
      <c r="P19" s="1027">
        <f t="shared" si="6"/>
        <v>0</v>
      </c>
      <c r="Q19" s="968">
        <f t="shared" si="6"/>
        <v>710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2097</v>
      </c>
      <c r="AC19" s="967">
        <f t="shared" si="7"/>
        <v>582</v>
      </c>
      <c r="AD19" s="967">
        <f t="shared" si="7"/>
        <v>0</v>
      </c>
      <c r="AE19" s="967">
        <f t="shared" si="7"/>
        <v>0</v>
      </c>
      <c r="AF19" s="974">
        <f t="shared" si="7"/>
        <v>4118</v>
      </c>
      <c r="AG19" s="974">
        <f t="shared" si="7"/>
        <v>0</v>
      </c>
      <c r="AH19" s="974">
        <f t="shared" si="7"/>
        <v>240</v>
      </c>
      <c r="AI19" s="974">
        <f t="shared" si="7"/>
        <v>0</v>
      </c>
      <c r="AJ19" s="967">
        <f t="shared" si="7"/>
        <v>0</v>
      </c>
      <c r="AK19" s="974">
        <f t="shared" si="7"/>
        <v>0</v>
      </c>
      <c r="AL19" s="974">
        <f t="shared" si="7"/>
        <v>0</v>
      </c>
      <c r="AM19" s="974">
        <f t="shared" si="7"/>
        <v>8489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2390</v>
      </c>
      <c r="BD19" s="966">
        <f t="shared" si="7"/>
        <v>1996</v>
      </c>
      <c r="BE19" s="966">
        <f t="shared" si="7"/>
        <v>0</v>
      </c>
      <c r="BF19" s="976">
        <f t="shared" si="7"/>
        <v>0</v>
      </c>
      <c r="BG19" s="1061">
        <f>IF(ISNUMBER(Datos!K19/Datos!J19),Datos!K19/Datos!J19," - ")</f>
        <v>0.99894347596407818</v>
      </c>
      <c r="BH19" s="1061">
        <f>IF(ISNUMBER(((Datos!L19/Datos!K19)*11)/factor_trimestre),((Datos!L19/Datos!K19)*11)/factor_trimestre," - ")</f>
        <v>5.0893707033315714</v>
      </c>
      <c r="BI19" s="959">
        <f>IF(ISNUMBER(Datos!J19/Datos!I19),Datos!J19/Datos!I19," - ")</f>
        <v>0.59199416241009073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-0.6544943820224719</v>
      </c>
      <c r="BM19" s="1035">
        <f>IF(ISNUMBER((Datos!P19-Datos!Q19+R19)/(Datos!R19-Datos!P19+Datos!Q19-R19)),(Datos!P19-Datos!Q19+R19)/(Datos!R19-Datos!P19+Datos!Q19-R19)," - ")</f>
        <v>1.5309173543834469E-2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1512.4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3.4641016151377544</v>
      </c>
      <c r="F21" s="599">
        <f>IF(ISNUMBER(STDEV(F8:F18)),STDEV(F8:F18),"-")</f>
        <v>1666.2328768812599</v>
      </c>
      <c r="G21" s="600">
        <f>IF(ISNUMBER(STDEV(G8:G18)),STDEV(G8:G18),"-")</f>
        <v>1683.5699569664457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968.51855945046293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733.4531179226633</v>
      </c>
      <c r="BD21" s="599"/>
      <c r="BE21" s="599">
        <f>IF(ISNUMBER(STDEV(BE8:BE18)),STDEV(BE8:BE18),"-")</f>
        <v>0</v>
      </c>
      <c r="BF21" s="604">
        <f>IF(ISNUMBER(STDEV(BF8:BF18)),STDEV(BF8:BF18),"-")</f>
        <v>0</v>
      </c>
      <c r="BG21" s="914">
        <f>IF(ISNUMBER(STDEV(BG8:BG18)),STDEV(BG8:BG18),"-")</f>
        <v>0.16388797263958779</v>
      </c>
      <c r="BH21" s="918">
        <f>IF(ISNUMBER(STDEV(BH8:BH18)),STDEV(BH8:BH18),"-")</f>
        <v>3.4050353423243167</v>
      </c>
      <c r="BI21" s="253">
        <f>IF(ISNUMBER(STDEV(BI8:BI18)),STDEV(BI8:BI18),"-")</f>
        <v>0.13927283514326241</v>
      </c>
      <c r="BJ21" s="234" t="str">
        <f>IF(ISNUMBER(BL21/BM21),BL21/BM21," - ")</f>
        <v xml:space="preserve"> - </v>
      </c>
      <c r="BK21" s="626"/>
      <c r="BL21" s="607">
        <f>IF(ISNUMBER(STDEV(BL8:BL18)),STDEV(BL8:BL18),"-")</f>
        <v>0.30446536616087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o9cEGeaG3+z0XlyocJWBqiVEIGw0X2zESbMR3mMpV4gPL58ZkK7Q7a1AVqzxOflUo/DRx71T1UXCLK5AknJyRg==" saltValue="kyTjfLeum3KUgwkCdJTsq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ARABA-ALAVA  Resumenes por Partidos Judiciales  VITORIA-GASTEIZ</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7</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405</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267</v>
      </c>
      <c r="AA9" s="505" t="str">
        <f>IF(ISNUMBER(IF(J_V="SI",Datos!L9,Datos!L9+Datos!AB9)-IF(Monitorios="SI",Datos!CD9,0)),
                          IF(J_V="SI",Datos!L9,Datos!L9+Datos!AB9)-IF(Monitorios="SI",Datos!CD9,0),
                          " - ")</f>
        <v xml:space="preserve"> - </v>
      </c>
      <c r="AB9" s="503"/>
      <c r="AC9" s="503"/>
      <c r="AD9" s="516"/>
      <c r="AE9" s="516">
        <f>IF(ISNUMBER(Datos!R9),Datos!R9," - ")</f>
        <v>6218</v>
      </c>
      <c r="AF9" s="619" t="str">
        <f>IF(ISNUMBER(Datos!BV9),Datos!BV9," - ")</f>
        <v xml:space="preserve"> - </v>
      </c>
      <c r="AG9" s="506" t="str">
        <f>IF(ISNUMBER(Datos!DV9),Datos!DV9," - ")</f>
        <v xml:space="preserve"> - </v>
      </c>
      <c r="AH9" s="507"/>
      <c r="AI9" s="508"/>
      <c r="AJ9" s="506">
        <f>IF(ISNUMBER(Datos!M9),Datos!M9," - ")</f>
        <v>1609</v>
      </c>
      <c r="AK9" s="619">
        <f>IF(ISNUMBER(Datos!N9),Datos!N9," - ")</f>
        <v>695</v>
      </c>
      <c r="AL9" s="619" t="str">
        <f>IF(ISNUMBER(Datos!BW9),Datos!BW9," - ")</f>
        <v xml:space="preserve"> - </v>
      </c>
      <c r="AM9" s="667" t="str">
        <f>IF(ISNUMBER(Datos!BX9),Datos!BX9," - ")</f>
        <v xml:space="preserve"> - </v>
      </c>
      <c r="AN9" s="668"/>
      <c r="AO9" s="669">
        <f>IF(ISNUMBER(((NºAsuntos!I9/NºAsuntos!G9)*11)/factor_trimestre),((NºAsuntos!I9/NºAsuntos!G9)*11)/factor_trimestre," - ")</f>
        <v>4.2689784442361765</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2.2697368421052633E-2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159</v>
      </c>
      <c r="G10" s="506">
        <f>IF(ISNUMBER(Datos!I10),Datos!I10," - ")</f>
        <v>159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39</v>
      </c>
      <c r="Z10" s="703">
        <f>IF(ISNUMBER(Datos!Q10),Datos!Q10," - ")</f>
        <v>31</v>
      </c>
      <c r="AA10" s="505">
        <f>IF(ISNUMBER(Datos!L10),Datos!L10,"-")</f>
        <v>180</v>
      </c>
      <c r="AB10" s="503"/>
      <c r="AC10" s="503"/>
      <c r="AD10" s="516"/>
      <c r="AE10" s="516">
        <f>IF(ISNUMBER(Datos!R10),Datos!R10," - ")</f>
        <v>131</v>
      </c>
      <c r="AF10" s="619" t="str">
        <f>IF(ISNUMBER(Datos!BV10),Datos!BV10," - ")</f>
        <v xml:space="preserve"> - </v>
      </c>
      <c r="AG10" s="506" t="str">
        <f>IF(ISNUMBER(Datos!DV10),Datos!DV10," - ")</f>
        <v xml:space="preserve"> - </v>
      </c>
      <c r="AH10" s="507"/>
      <c r="AI10" s="508"/>
      <c r="AJ10" s="506">
        <f>IF(ISNUMBER(Datos!M10),Datos!M10," - ")</f>
        <v>23</v>
      </c>
      <c r="AK10" s="619">
        <f>IF(ISNUMBER(Datos!N10),Datos!N10," - ")</f>
        <v>37</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13.846153846153847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9.166666666666666E-2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74</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46</v>
      </c>
      <c r="AA11" s="505" t="str">
        <f>IF(ISNUMBER(IF(J_V="SI",Datos!L11,Datos!L11+Datos!AB11)-IF(Monitorios="SI",Datos!CD11,0)),
                          IF(J_V="SI",Datos!L11,Datos!L11+Datos!AB11)-IF(Monitorios="SI",Datos!CD11,0),
                          " - ")</f>
        <v xml:space="preserve"> - </v>
      </c>
      <c r="AB11" s="503"/>
      <c r="AC11" s="503"/>
      <c r="AD11" s="516"/>
      <c r="AE11" s="516">
        <f>IF(ISNUMBER(Datos!R11),Datos!R11," - ")</f>
        <v>1328</v>
      </c>
      <c r="AF11" s="619" t="str">
        <f>IF(ISNUMBER(Datos!BV11),Datos!BV11," - ")</f>
        <v xml:space="preserve"> - </v>
      </c>
      <c r="AG11" s="506" t="str">
        <f>IF(ISNUMBER(Datos!DV11),Datos!DV11," - ")</f>
        <v xml:space="preserve"> - </v>
      </c>
      <c r="AH11" s="507"/>
      <c r="AI11" s="508"/>
      <c r="AJ11" s="506">
        <f>IF(ISNUMBER(Datos!M11),Datos!M11," - ")</f>
        <v>170</v>
      </c>
      <c r="AK11" s="619">
        <f>IF(ISNUMBER(Datos!N11),Datos!N11," - ")</f>
        <v>431</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4.1740654205607477</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2.1538461538461538E-2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10</v>
      </c>
      <c r="F13" s="1044">
        <f>SUBTOTAL(9,F8:F12)</f>
        <v>159</v>
      </c>
      <c r="G13" s="1044">
        <f>SUBTOTAL(9,G8:G12)</f>
        <v>159</v>
      </c>
      <c r="H13" s="1054"/>
      <c r="I13" s="1044">
        <f t="shared" ref="I13:N13" si="0">SUBTOTAL(9,I8:I12)</f>
        <v>0</v>
      </c>
      <c r="J13" s="1013">
        <f t="shared" si="0"/>
        <v>0</v>
      </c>
      <c r="K13" s="1054">
        <f t="shared" si="0"/>
        <v>0</v>
      </c>
      <c r="L13" s="1054">
        <f t="shared" si="0"/>
        <v>0</v>
      </c>
      <c r="M13" s="1054">
        <f t="shared" si="0"/>
        <v>0</v>
      </c>
      <c r="N13" s="1054">
        <f t="shared" si="0"/>
        <v>521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39</v>
      </c>
      <c r="Z13" s="1053">
        <f t="shared" si="2"/>
        <v>344</v>
      </c>
      <c r="AA13" s="1046">
        <f t="shared" si="2"/>
        <v>180</v>
      </c>
      <c r="AB13" s="1046">
        <f t="shared" si="2"/>
        <v>0</v>
      </c>
      <c r="AC13" s="1046">
        <f t="shared" si="2"/>
        <v>0</v>
      </c>
      <c r="AD13" s="1046">
        <f t="shared" si="2"/>
        <v>0</v>
      </c>
      <c r="AE13" s="1046">
        <f t="shared" si="2"/>
        <v>7677</v>
      </c>
      <c r="AF13" s="1054">
        <f t="shared" si="2"/>
        <v>0</v>
      </c>
      <c r="AG13" s="1054">
        <f t="shared" si="2"/>
        <v>0</v>
      </c>
      <c r="AH13" s="1054">
        <f t="shared" si="2"/>
        <v>0</v>
      </c>
      <c r="AI13" s="1054">
        <f t="shared" si="2"/>
        <v>0</v>
      </c>
      <c r="AJ13" s="1054">
        <f t="shared" si="2"/>
        <v>1802</v>
      </c>
      <c r="AK13" s="1054">
        <f t="shared" si="2"/>
        <v>1163</v>
      </c>
      <c r="AL13" s="1054">
        <f t="shared" si="2"/>
        <v>0</v>
      </c>
      <c r="AM13" s="1054">
        <f t="shared" si="2"/>
        <v>0</v>
      </c>
      <c r="AN13" s="1054">
        <f t="shared" si="2"/>
        <v>0</v>
      </c>
      <c r="AO13" s="1050">
        <f>IF(ISNUMBER(((NºAsuntos!I13/NºAsuntos!G13)*11)/factor_trimestre),((NºAsuntos!I13/NºAsuntos!G13)*11)/factor_trimestre," - ")</f>
        <v>4.34033203125</v>
      </c>
      <c r="AP13" s="1056" t="str">
        <f>IF(ISNUMBER(Datos!CI13/Datos!CJ13),Datos!CI13/Datos!CJ13," - ")</f>
        <v xml:space="preserve"> - </v>
      </c>
      <c r="AQ13" s="1074">
        <f t="shared" ref="AQ13:AV13" si="3">SUBTOTAL(9,AQ9:AQ12)</f>
        <v>0</v>
      </c>
      <c r="AR13" s="1074">
        <f t="shared" si="3"/>
        <v>0.13590249662618084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3045</v>
      </c>
      <c r="G15" s="506">
        <f>IF(ISNUMBER(IF(D_I="SI",Datos!I15,Datos!I15+Datos!AC15)),IF(D_I="SI",Datos!I15,Datos!I15+Datos!AC15)," - ")</f>
        <v>3045</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187</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1705</v>
      </c>
      <c r="Z15" s="703">
        <f>IF(ISNUMBER(Datos!Q15),Datos!Q15," - ")</f>
        <v>236</v>
      </c>
      <c r="AA15" s="505">
        <f>IF(ISNUMBER(IF(D_I="SI",Datos!L15,Datos!L15+Datos!AF15)),IF(D_I="SI",Datos!L15,Datos!L15+Datos!AF15)," - ")</f>
        <v>3311</v>
      </c>
      <c r="AB15" s="503"/>
      <c r="AC15" s="503"/>
      <c r="AD15" s="516"/>
      <c r="AE15" s="516">
        <f>IF(ISNUMBER(Datos!R15),Datos!R15," - ")</f>
        <v>809</v>
      </c>
      <c r="AF15" s="619" t="str">
        <f>IF(ISNUMBER(Datos!BV15),Datos!BV15," - ")</f>
        <v xml:space="preserve"> - </v>
      </c>
      <c r="AG15" s="506"/>
      <c r="AH15" s="507"/>
      <c r="AI15" s="508"/>
      <c r="AJ15" s="506">
        <f>IF(ISNUMBER(Datos!M15),Datos!M15," - ")</f>
        <v>526</v>
      </c>
      <c r="AK15" s="619">
        <f>IF(ISNUMBER(Datos!N15),Datos!N15," - ")</f>
        <v>683</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5.8258064516129027</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577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353</v>
      </c>
      <c r="Z17" s="703">
        <f>IF(ISNUMBER(Datos!Q17),Datos!Q17," - ")</f>
        <v>2</v>
      </c>
      <c r="AA17" s="505">
        <f>IF(ISNUMBER(Datos!L17),Datos!L17,"-")</f>
        <v>627</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62</v>
      </c>
      <c r="AK17" s="619">
        <f>IF(ISNUMBER(Datos!N17),Datos!N17," - ")</f>
        <v>150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5.3286118980169972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3045</v>
      </c>
      <c r="G18" s="1044">
        <f>SUBTOTAL(9,G15:G17)</f>
        <v>3622</v>
      </c>
      <c r="H18" s="1078">
        <f>SUBTOTAL(9,H15:H17)</f>
        <v>0</v>
      </c>
      <c r="I18" s="1057">
        <f>SUBTOTAL(9,I15:I17)</f>
        <v>0</v>
      </c>
      <c r="J18" s="1013">
        <f>SUBTOTAL(9,J14:J17)</f>
        <v>0</v>
      </c>
      <c r="K18" s="1078">
        <f t="shared" ref="K18:S18" si="4">SUBTOTAL(9,K15:K17)</f>
        <v>0</v>
      </c>
      <c r="L18" s="1078">
        <f t="shared" si="4"/>
        <v>0</v>
      </c>
      <c r="M18" s="1078">
        <f t="shared" si="4"/>
        <v>0</v>
      </c>
      <c r="N18" s="1078">
        <f t="shared" si="4"/>
        <v>189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2058</v>
      </c>
      <c r="Z18" s="1078">
        <f t="shared" si="5"/>
        <v>238</v>
      </c>
      <c r="AA18" s="1078">
        <f t="shared" si="5"/>
        <v>3938</v>
      </c>
      <c r="AB18" s="1078">
        <f t="shared" si="5"/>
        <v>0</v>
      </c>
      <c r="AC18" s="1078">
        <f t="shared" si="5"/>
        <v>0</v>
      </c>
      <c r="AD18" s="1078">
        <f t="shared" si="5"/>
        <v>0</v>
      </c>
      <c r="AE18" s="1078">
        <f t="shared" si="5"/>
        <v>812</v>
      </c>
      <c r="AF18" s="1078">
        <f t="shared" si="5"/>
        <v>0</v>
      </c>
      <c r="AG18" s="1078">
        <f t="shared" si="5"/>
        <v>0</v>
      </c>
      <c r="AH18" s="1078">
        <f t="shared" si="5"/>
        <v>0</v>
      </c>
      <c r="AI18" s="1078">
        <f t="shared" si="5"/>
        <v>0</v>
      </c>
      <c r="AJ18" s="1078">
        <f t="shared" si="5"/>
        <v>588</v>
      </c>
      <c r="AK18" s="1078">
        <f t="shared" si="5"/>
        <v>833</v>
      </c>
      <c r="AL18" s="1078">
        <f t="shared" si="5"/>
        <v>0</v>
      </c>
      <c r="AM18" s="1078">
        <f t="shared" si="5"/>
        <v>0</v>
      </c>
      <c r="AN18" s="1078">
        <f t="shared" si="5"/>
        <v>0</v>
      </c>
      <c r="AO18" s="1080">
        <f>IF(ISNUMBER(((NºAsuntos!I18/NºAsuntos!G18)*11)/factor_trimestre),((NºAsuntos!I18/NºAsuntos!G18)*11)/factor_trimestre," - ")</f>
        <v>5.740524781341108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15</v>
      </c>
      <c r="F19" s="966">
        <f t="shared" si="7"/>
        <v>3204</v>
      </c>
      <c r="G19" s="966">
        <f t="shared" si="7"/>
        <v>3781</v>
      </c>
      <c r="H19" s="967">
        <f t="shared" si="7"/>
        <v>0</v>
      </c>
      <c r="I19" s="966">
        <f t="shared" si="7"/>
        <v>0</v>
      </c>
      <c r="J19" s="968">
        <f t="shared" si="7"/>
        <v>0</v>
      </c>
      <c r="K19" s="966">
        <f t="shared" si="7"/>
        <v>0</v>
      </c>
      <c r="L19" s="969">
        <f t="shared" si="7"/>
        <v>0</v>
      </c>
      <c r="M19" s="966">
        <f t="shared" si="7"/>
        <v>0</v>
      </c>
      <c r="N19" s="967">
        <f t="shared" si="7"/>
        <v>710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2097</v>
      </c>
      <c r="Z19" s="973">
        <f t="shared" si="8"/>
        <v>582</v>
      </c>
      <c r="AA19" s="974">
        <f t="shared" si="8"/>
        <v>4118</v>
      </c>
      <c r="AB19" s="974">
        <f t="shared" si="8"/>
        <v>0</v>
      </c>
      <c r="AC19" s="974">
        <f t="shared" si="8"/>
        <v>0</v>
      </c>
      <c r="AD19" s="975">
        <f t="shared" si="8"/>
        <v>0</v>
      </c>
      <c r="AE19" s="975">
        <f t="shared" si="8"/>
        <v>8489</v>
      </c>
      <c r="AF19" s="976">
        <f t="shared" si="8"/>
        <v>0</v>
      </c>
      <c r="AG19" s="977">
        <f t="shared" si="8"/>
        <v>0</v>
      </c>
      <c r="AH19" s="978">
        <f t="shared" si="8"/>
        <v>0</v>
      </c>
      <c r="AI19" s="976">
        <f t="shared" si="8"/>
        <v>0</v>
      </c>
      <c r="AJ19" s="966">
        <f t="shared" si="8"/>
        <v>2390</v>
      </c>
      <c r="AK19" s="966">
        <f t="shared" si="8"/>
        <v>1996</v>
      </c>
      <c r="AL19" s="966">
        <f t="shared" si="8"/>
        <v>0</v>
      </c>
      <c r="AM19" s="979">
        <f t="shared" si="8"/>
        <v>0</v>
      </c>
      <c r="AN19" s="969">
        <f>IF(ISNUMBER(Datos!K19/Datos!J19),Datos!K19/Datos!J19," - ")</f>
        <v>0.99894347596407818</v>
      </c>
      <c r="AO19" s="969">
        <f>IF(ISNUMBER(FIND("06",Criterios!A8,1)),(IF(ISNUMBER(((Datos!R19/Datos!Q19)*11)/factor_trimestre),((Datos!R19/Datos!Q19)*11)/factor_trimestre," - ")),(IF(ISNUMBER(((Datos!L19/Datos!K19)*11)/factor_trimestre),((Datos!L19/Datos!K19)*11)/factor_trimestre," - ")))</f>
        <v>5.0893707033315714</v>
      </c>
      <c r="AP19" s="980" t="str">
        <f>IF(ISNUMBER(Datos!CI19/Datos!CJ19),Datos!CI19/Datos!CJ19," - ")</f>
        <v xml:space="preserve"> - </v>
      </c>
      <c r="AQ19" s="980">
        <f>IF(OR(ISNUMBER(FIND("01",Criterios!A8,1)),ISNUMBER(FIND("02",Criterios!A8,1)),ISNUMBER(FIND("03",Criterios!A8,1)),ISNUMBER(FIND("04",Criterios!A8,1))),(J19-Y19+K19)/(F19-K19),(I19-Y19+K19)/(F19-K19))</f>
        <v>-0.6544943820224719</v>
      </c>
      <c r="AR19" s="980">
        <f>IF(ISNUMBER((Datos!P19-Datos!Q19+O19)/(Datos!R19-Datos!P19+Datos!Q19-O19)),(Datos!P19-Datos!Q19+O19)/(Datos!R19-Datos!P19+Datos!Q19-O19)," - ")</f>
        <v>1.5309173543834469E-2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1512.4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1666.2328768812599</v>
      </c>
      <c r="G21" s="600">
        <f>IF(ISNUMBER(STDEV(G8:G18)),STDEV(G8:G18),"-")</f>
        <v>1683.5699569664457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733.4531179226633</v>
      </c>
      <c r="AK21" s="256"/>
      <c r="AL21" s="256">
        <f>IF(ISNUMBER(STDEV(AL8:AL18)),STDEV(AL8:AL18),"-")</f>
        <v>0</v>
      </c>
      <c r="AM21" s="258">
        <f>IF(ISNUMBER(STDEV(AM8:AM18)),STDEV(AM8:AM18),"-")</f>
        <v>0</v>
      </c>
      <c r="AN21" s="586">
        <f>IF(ISNUMBER(STDEV(AN8:AN18)),STDEV(AN8:AN18),"-")</f>
        <v>0</v>
      </c>
      <c r="AO21" s="587">
        <f>IF(ISNUMBER(STDEV(AO8:AO18)),STDEV(AO8:AO18),"-")</f>
        <v>3.4366536756448709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HdED6Zh1vlQt1k6ghRqpmkG0gFDO7qdMKZvtDqGF9XtyYRcSjGaFp0OuO9sg71K2FjHsKZa/Ji2JPyra4jhPzw==" saltValue="9wL2aX8qaCvYrRsIDVD0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0VJiuo4QGmkWf/PK32OJi00YKHE7s5n+f5nYN6GgUI1c6Rmkt04gZnz5vv1f2vcfFh1+MpdyNMDBl2tavUHJXg==" saltValue="ZkG+UPatQxc61QeQOLSR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z8Mi9FnJvMPK6cRBz9T1EgXjeB84bIiy6ofhR/zvhLNcpFTD8UshTG9qEiw92bK7vqmozl1/JO9VzNtCnGqgw==" saltValue="N2jWoKrm/AejV914ZGP/h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ARABA-ALAVA  Resumenes por Partidos Judiciales  VITORIA-GASTEIZ</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0.43994140625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0.31108555168412078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03JnxYc70B2ylPYYncRVAPDJ+tTUIbfX1WjE08/rNAWiXYXvEjBkSbKzjED4NcKQUb1J/u4DB9e9Il45BS+rJg==" saltValue="kOX2S3tD7LkpwNpQh7pL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q7QKlneIJ5PlC7HqS1pZkJJdThenNsYp7DUpgLQMYZ25oP0TbVaUD4Iz68qhswmduftevcAKCTKcThtNxEWpg==" saltValue="pEXA7RWcrgtWJhyir+kH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ARABA-ALAVA</v>
      </c>
      <c r="D3" s="399"/>
      <c r="E3" s="399"/>
      <c r="F3" s="399"/>
    </row>
    <row r="4" spans="1:14" ht="13.5" thickBot="1">
      <c r="A4" s="399"/>
      <c r="B4" s="402" t="str">
        <f>Criterios!A11 &amp;"  "&amp;Criterios!B11</f>
        <v>Resumenes por Partidos Judiciales  VITORIA-GASTEIZ</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7</v>
      </c>
      <c r="C9" s="414">
        <f>IF(ISNUMBER(IF(J_V="SI",Datos!I9,Datos!I9+Datos!Y9)),IF(J_V="SI",Datos!I9,Datos!I9+Datos!Y9)," - ")</f>
        <v>4949</v>
      </c>
      <c r="D9" s="415">
        <f>IF(ISNUMBER(C9/Datos!BH9),C9/Datos!BH9," - ")</f>
        <v>824.83333333333337</v>
      </c>
      <c r="E9" s="414">
        <f>IF(ISNUMBER(IF(J_V="SI",Datos!J9,Datos!J9+Datos!Z9)),IF(J_V="SI",Datos!J9,Datos!J9+Datos!Z9)," - ")</f>
        <v>2807</v>
      </c>
      <c r="F9" s="415">
        <f>IF(ISNUMBER(E9/B9),E9/B9," - ")</f>
        <v>401</v>
      </c>
      <c r="G9" s="414">
        <f>IF(ISNUMBER(IF(J_V="SI",Datos!K9,Datos!K9+Datos!AA9)),IF(J_V="SI",Datos!K9,Datos!K9+Datos!AA9)," - ")</f>
        <v>3201</v>
      </c>
      <c r="H9" s="415">
        <f>IF(ISNUMBER(G9/B9),G9/B9," - ")</f>
        <v>457.28571428571428</v>
      </c>
      <c r="I9" s="414">
        <f>IF(ISNUMBER(IF(J_V="SI",Datos!L9,Datos!L9+Datos!AB9)),IF(J_V="SI",Datos!L9,Datos!L9+Datos!AB9)," - ")</f>
        <v>4555</v>
      </c>
      <c r="J9" s="415">
        <f>IF(ISNUMBER(I9/B9),I9/B9," - ")</f>
        <v>650.71428571428567</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159</v>
      </c>
      <c r="D10" s="415">
        <f>IF(ISNUMBER(C10/Datos!BH10),C10/Datos!BH10," - ")</f>
        <v>159</v>
      </c>
      <c r="E10" s="414">
        <f>IF(ISNUMBER(Datos!J10),Datos!J10," - ")</f>
        <v>60</v>
      </c>
      <c r="F10" s="415">
        <f>IF(ISNUMBER(E10/B10),E10/B10," - ")</f>
        <v>60</v>
      </c>
      <c r="G10" s="414">
        <f>IF(ISNUMBER(Datos!K10),Datos!K10," - ")</f>
        <v>39</v>
      </c>
      <c r="H10" s="415">
        <f>IF(ISNUMBER(G10/B10),G10/B10," - ")</f>
        <v>39</v>
      </c>
      <c r="I10" s="414">
        <f>IF(ISNUMBER(Datos!L10),Datos!L10," - ")</f>
        <v>180</v>
      </c>
      <c r="J10" s="415">
        <f>IF(ISNUMBER(I10/B10),I10/B10," - ")</f>
        <v>180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1078</v>
      </c>
      <c r="D11" s="415">
        <f>IF(ISNUMBER(C11/Datos!BH11),C11/Datos!BH11," - ")</f>
        <v>539</v>
      </c>
      <c r="E11" s="414">
        <f>IF(ISNUMBER(IF(J_V="SI",Datos!J11,Datos!J11+Datos!Z11)),IF(J_V="SI",Datos!J11,Datos!J11+Datos!Z11)," - ")</f>
        <v>985</v>
      </c>
      <c r="F11" s="415">
        <f>IF(ISNUMBER(E11/B11),E11/B11," - ")</f>
        <v>492.5</v>
      </c>
      <c r="G11" s="414">
        <f>IF(ISNUMBER(IF(J_V="SI",Datos!K11,Datos!K11+Datos!AA11)),IF(J_V="SI",Datos!K11,Datos!K11+Datos!AA11)," - ")</f>
        <v>856</v>
      </c>
      <c r="H11" s="415">
        <f>IF(ISNUMBER(G11/B11),G11/B11," - ")</f>
        <v>428</v>
      </c>
      <c r="I11" s="414">
        <f>IF(ISNUMBER(IF(J_V="SI",Datos!L11,Datos!L11+Datos!AB11)),IF(J_V="SI",Datos!L11,Datos!L11+Datos!AB11)," - ")</f>
        <v>1191</v>
      </c>
      <c r="J11" s="415">
        <f>IF(ISNUMBER(I11/B11),I11/B11," - ")</f>
        <v>595.5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10</v>
      </c>
      <c r="C13" s="995">
        <f>SUBTOTAL(9,C8:C12)</f>
        <v>6186</v>
      </c>
      <c r="D13" s="996" t="str">
        <f>IF(ISNUMBER(C13/Datos!BI13),C13/Datos!BI13," - ")</f>
        <v xml:space="preserve"> - </v>
      </c>
      <c r="E13" s="995">
        <f>SUBTOTAL(9,E8:E12)</f>
        <v>3852</v>
      </c>
      <c r="F13" s="996">
        <f>IF(ISNUMBER(E13/B13),E13/B13," - ")</f>
        <v>385.2</v>
      </c>
      <c r="G13" s="995">
        <f>SUBTOTAL(9,G8:G12)</f>
        <v>4096</v>
      </c>
      <c r="H13" s="996">
        <f>IF(ISNUMBER(G13/B13),G13/B13," - ")</f>
        <v>409.6</v>
      </c>
      <c r="I13" s="995">
        <f>SUBTOTAL(9,I8:I12)</f>
        <v>5926</v>
      </c>
      <c r="J13" s="996">
        <f>IF(ISNUMBER(I13/B13),I13/B13," - ")</f>
        <v>592.6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3045</v>
      </c>
      <c r="D15" s="415">
        <f>IF(ISNUMBER(C15/Datos!BH15),C15/Datos!BH15," - ")</f>
        <v>761.25</v>
      </c>
      <c r="E15" s="414">
        <f>IF(ISNUMBER(IF(D_I="SI",Datos!J15,Datos!J15+Datos!AD15)),IF(D_I="SI",Datos!J15,Datos!J15+Datos!AD15)," - ")</f>
        <v>1971</v>
      </c>
      <c r="F15" s="415">
        <f>IF(ISNUMBER(E15/B15),E15/B15," - ")</f>
        <v>492.75</v>
      </c>
      <c r="G15" s="414">
        <f>IF(ISNUMBER(IF(D_I="SI",Datos!K15,Datos!K15+Datos!AE15)),IF(D_I="SI",Datos!K15,Datos!K15+Datos!AE15)," - ")</f>
        <v>1705</v>
      </c>
      <c r="H15" s="415">
        <f>IF(ISNUMBER(G15/B15),G15/B15," - ")</f>
        <v>426.25</v>
      </c>
      <c r="I15" s="414">
        <f>IF(ISNUMBER(IF(D_I="SI",Datos!L15,Datos!L15+Datos!AF15)),IF(D_I="SI",Datos!L15,Datos!L15+Datos!AF15)," - ")</f>
        <v>3311</v>
      </c>
      <c r="J15" s="415">
        <f>IF(ISNUMBER(I15/B15),I15/B15," - ")</f>
        <v>827.75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577</v>
      </c>
      <c r="D17" s="415">
        <f>IF(ISNUMBER(C17/Datos!BH17),C17/Datos!BH17," - ")</f>
        <v>577</v>
      </c>
      <c r="E17" s="414">
        <f>IF(ISNUMBER(IF(D_I="SI",Datos!J17,Datos!J17+Datos!AD17)),IF(D_I="SI",Datos!J17,Datos!J17+Datos!AD17)," - ")</f>
        <v>403</v>
      </c>
      <c r="F17" s="415">
        <f>IF(ISNUMBER(E17/B17),E17/B17," - ")</f>
        <v>403</v>
      </c>
      <c r="G17" s="414">
        <f>IF(ISNUMBER(IF(D_I="SI",Datos!K17,Datos!K17+Datos!AE17)),IF(D_I="SI",Datos!K17,Datos!K17+Datos!AE17)," - ")</f>
        <v>353</v>
      </c>
      <c r="H17" s="415">
        <f>IF(ISNUMBER(G17/B17),G17/B17," - ")</f>
        <v>353</v>
      </c>
      <c r="I17" s="414">
        <f>IF(ISNUMBER(IF(D_I="SI",Datos!L17,Datos!L17+Datos!AF17)),IF(D_I="SI",Datos!L17,Datos!L17+Datos!AF17)," - ")</f>
        <v>627</v>
      </c>
      <c r="J17" s="415">
        <f>IF(ISNUMBER(I17/B17),I17/B17," - ")</f>
        <v>627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3622</v>
      </c>
      <c r="D18" s="996" t="str">
        <f>IF(ISNUMBER(C18/Datos!BI18),C18/Datos!BI18," - ")</f>
        <v xml:space="preserve"> - </v>
      </c>
      <c r="E18" s="995">
        <f>SUBTOTAL(9,E14:E17)</f>
        <v>2374</v>
      </c>
      <c r="F18" s="996">
        <f>IF(ISNUMBER(E18/B18),E18/B18," - ")</f>
        <v>474.8</v>
      </c>
      <c r="G18" s="995">
        <f>SUBTOTAL(9,G14:G17)</f>
        <v>2058</v>
      </c>
      <c r="H18" s="996">
        <f>IF(ISNUMBER(G18/B18),G18/B18," - ")</f>
        <v>411.6</v>
      </c>
      <c r="I18" s="995">
        <f>SUBTOTAL(9,I14:I17)</f>
        <v>3938</v>
      </c>
      <c r="J18" s="996">
        <f>IF(ISNUMBER(I18/B18),I18/B18," - ")</f>
        <v>787.6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14</v>
      </c>
      <c r="C19" s="940">
        <f>SUBTOTAL(9,C9:C18)</f>
        <v>9808</v>
      </c>
      <c r="D19" s="941" t="str">
        <f>IF(ISNUMBER(C19/Datos!BI19),C19/Datos!BI19," - ")</f>
        <v xml:space="preserve"> - </v>
      </c>
      <c r="E19" s="940">
        <f>SUBTOTAL(9,E9:E18)</f>
        <v>6226</v>
      </c>
      <c r="F19" s="941">
        <f>IF(ISNUMBER(E19/B19),E19/B19," - ")</f>
        <v>444.71428571428572</v>
      </c>
      <c r="G19" s="940">
        <f>SUBTOTAL(9,G9:G18)</f>
        <v>6154</v>
      </c>
      <c r="H19" s="941">
        <f>IF(ISNUMBER(G19/B19),G19/B19," - ")</f>
        <v>439.57142857142856</v>
      </c>
      <c r="I19" s="940">
        <f>SUBTOTAL(9,I9:I18)</f>
        <v>9864</v>
      </c>
      <c r="J19" s="941">
        <f>IF(ISNUMBER(I19/B19),I19/B19," - ")</f>
        <v>704.57142857142856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qr+sikxdbY2jaacbBdHejr/fr5HoSoYqFq4wL4uSVh1mXiHOT4cXnzEX4PU1hyXuV8Neo96zLgTROHFIt3+Wyg==" saltValue="gnqvxnKxlKdWw5s4rqg3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ARABA-ALAVA  Resumenes por Partidos Judiciales  VITORIA-GASTEIZ</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7</v>
      </c>
      <c r="B9" s="652" t="s">
        <v>249</v>
      </c>
      <c r="C9" s="670" t="str">
        <f>Datos!A9</f>
        <v xml:space="preserve">Jdos. 1ª Instancia   </v>
      </c>
      <c r="D9" s="543"/>
      <c r="E9" s="800">
        <f>IF(ISNUMBER(Datos!AQ9),Datos!AQ9," - ")</f>
        <v>7</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159</v>
      </c>
      <c r="G10" s="802">
        <f>IF(ISNUMBER(Datos!I10),Datos!I10," - ")</f>
        <v>159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39</v>
      </c>
      <c r="AC10" s="801" t="str">
        <f>IF(ISNUMBER(IF(D_I="SI",DatosP!K17,DatosP!K17+DatosP!AE17)),IF(D_I="SI",DatosP!K17,DatosP!K17+DatosP!AE17)," - ")</f>
        <v xml:space="preserve"> - </v>
      </c>
      <c r="AD10" s="803"/>
      <c r="AE10" s="803"/>
      <c r="AF10" s="806">
        <f>IF(ISNUMBER(Datos!L10),Datos!L10,"-")</f>
        <v>180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23</v>
      </c>
      <c r="AM10" s="810">
        <f>IF(ISNUMBER(Datos!N10+DatosP!N17),Datos!N10+DatosP!N17," - ")</f>
        <v>37</v>
      </c>
      <c r="AN10" s="810">
        <f>IF(ISNUMBER(Datos!BW10+DatosP!BW17),Datos!BW10+DatosP!BW17," - ")</f>
        <v>0</v>
      </c>
      <c r="AO10" s="811">
        <f>IF(ISNUMBER(Datos!BX10+DatosP!BX17),Datos!BX10+DatosP!BX17," - ")</f>
        <v>0</v>
      </c>
      <c r="AP10" s="813">
        <f>IF(ISNUMBER(((Datos!L10/Datos!K10)*11)/factor_trimestre),((Datos!L10/Datos!K10)*11)/factor_trimestre," - ")</f>
        <v>13.846153846153847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10</v>
      </c>
      <c r="F13" s="1084">
        <f t="shared" si="0"/>
        <v>159</v>
      </c>
      <c r="G13" s="1084">
        <f t="shared" si="0"/>
        <v>159</v>
      </c>
      <c r="H13" s="1084">
        <f t="shared" si="0"/>
        <v>0</v>
      </c>
      <c r="I13" s="1086">
        <f t="shared" si="0"/>
        <v>0</v>
      </c>
      <c r="J13" s="1085">
        <f t="shared" si="0"/>
        <v>0</v>
      </c>
      <c r="K13" s="1085">
        <f t="shared" si="0"/>
        <v>0</v>
      </c>
      <c r="L13" s="1087">
        <f t="shared" si="0"/>
        <v>0</v>
      </c>
      <c r="M13" s="1087">
        <f t="shared" si="0"/>
        <v>0</v>
      </c>
      <c r="N13" s="1085">
        <f t="shared" si="0"/>
        <v>42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39</v>
      </c>
      <c r="AC13" s="1085">
        <f t="shared" si="1"/>
        <v>0</v>
      </c>
      <c r="AD13" s="1085">
        <f t="shared" si="1"/>
        <v>0</v>
      </c>
      <c r="AE13" s="1085">
        <f t="shared" si="1"/>
        <v>0</v>
      </c>
      <c r="AF13" s="1085">
        <f t="shared" si="1"/>
        <v>180</v>
      </c>
      <c r="AG13" s="1085">
        <f t="shared" si="1"/>
        <v>0</v>
      </c>
      <c r="AH13" s="1085">
        <f t="shared" si="1"/>
        <v>0</v>
      </c>
      <c r="AI13" s="1085">
        <f t="shared" si="1"/>
        <v>0</v>
      </c>
      <c r="AJ13" s="1085">
        <f t="shared" si="1"/>
        <v>0</v>
      </c>
      <c r="AK13" s="1085">
        <f t="shared" si="1"/>
        <v>0</v>
      </c>
      <c r="AL13" s="1085">
        <f t="shared" si="1"/>
        <v>23</v>
      </c>
      <c r="AM13" s="1085">
        <f t="shared" si="1"/>
        <v>37</v>
      </c>
      <c r="AN13" s="1085">
        <f t="shared" si="1"/>
        <v>0</v>
      </c>
      <c r="AO13" s="1085">
        <f t="shared" si="1"/>
        <v>0</v>
      </c>
      <c r="AP13" s="1090">
        <f>IF(ISNUMBER(((Datos!L13/Datos!K13)*11)/factor_trimestre),((Datos!L13/Datos!K13)*11)/factor_trimestre," - ")</f>
        <v>4.7186721991701246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-0.24528301886792453</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5.740524781341108</v>
      </c>
      <c r="AQ18" s="1090">
        <f>IF(ISNUMBER(((Datos!M18/Datos!L18)*11)/factor_trimestre),((Datos!M18/Datos!L18)*11)/factor_trimestre," - ")</f>
        <v>0.44794311833417977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-5.6910569105691054E-2</v>
      </c>
      <c r="AW18" s="1092">
        <f>IF(ISNUMBER((Datos!Q18-Datos!R18)/(Datos!S18-Datos!Q18+Datos!R18)),(Datos!Q18-Datos!R18)/(Datos!S18-Datos!Q18+Datos!R18)," - ")</f>
        <v>-0.14778578784757981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10</v>
      </c>
      <c r="F19" s="1097">
        <f t="shared" si="4"/>
        <v>159</v>
      </c>
      <c r="G19" s="1097">
        <f t="shared" si="4"/>
        <v>159</v>
      </c>
      <c r="H19" s="1097">
        <f t="shared" si="4"/>
        <v>0</v>
      </c>
      <c r="I19" s="1098">
        <f t="shared" si="4"/>
        <v>0</v>
      </c>
      <c r="J19" s="1099">
        <f t="shared" si="4"/>
        <v>0</v>
      </c>
      <c r="K19" s="1099">
        <f t="shared" si="4"/>
        <v>0</v>
      </c>
      <c r="L19" s="1099">
        <f t="shared" si="4"/>
        <v>0</v>
      </c>
      <c r="M19" s="1099">
        <f t="shared" si="4"/>
        <v>0</v>
      </c>
      <c r="N19" s="1098">
        <f t="shared" si="4"/>
        <v>42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39</v>
      </c>
      <c r="AC19" s="1103">
        <f t="shared" si="5"/>
        <v>0</v>
      </c>
      <c r="AD19" s="1103">
        <f t="shared" si="5"/>
        <v>0</v>
      </c>
      <c r="AE19" s="1103">
        <f t="shared" si="5"/>
        <v>0</v>
      </c>
      <c r="AF19" s="1104">
        <f t="shared" si="5"/>
        <v>180</v>
      </c>
      <c r="AG19" s="1104">
        <f t="shared" si="5"/>
        <v>0</v>
      </c>
      <c r="AH19" s="1104">
        <f t="shared" si="5"/>
        <v>0</v>
      </c>
      <c r="AI19" s="1104">
        <f t="shared" si="5"/>
        <v>0</v>
      </c>
      <c r="AJ19" s="1105">
        <f t="shared" si="5"/>
        <v>0</v>
      </c>
      <c r="AK19" s="1105">
        <f t="shared" si="5"/>
        <v>0</v>
      </c>
      <c r="AL19" s="1097">
        <f t="shared" si="5"/>
        <v>23</v>
      </c>
      <c r="AM19" s="1097">
        <f t="shared" si="5"/>
        <v>37</v>
      </c>
      <c r="AN19" s="1097">
        <f t="shared" si="5"/>
        <v>0</v>
      </c>
      <c r="AO19" s="1097">
        <f t="shared" si="5"/>
        <v>0</v>
      </c>
      <c r="AP19" s="1097">
        <f>IF(ISNUMBER(((Datos!L19/Datos!K19)*11)/factor_trimestre),((Datos!L19/Datos!K19)*11)/factor_trimestre," - ")</f>
        <v>5.0893707033315714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-0.24528301886792453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1.5309173543834469E-2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4.1793141383086612</v>
      </c>
      <c r="F21" s="869">
        <f>IF(ISNUMBER(STDEV(F8:F18)),STDEV(F8:F18),"-")</f>
        <v>91.798692801150494</v>
      </c>
      <c r="G21" s="870">
        <f>IF(ISNUMBER(STDEV(G8:G18)),STDEV(G8:G18),"-")</f>
        <v>91.798692801150494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22.516660498395403</v>
      </c>
      <c r="AC21" s="871">
        <f>IF(ISNUMBER(STDEV(AC8:AC18)),STDEV(AC8:AC18),"-")</f>
        <v>0</v>
      </c>
      <c r="AD21" s="874"/>
      <c r="AE21" s="874"/>
      <c r="AF21" s="874"/>
      <c r="AG21" s="874"/>
      <c r="AH21" s="874"/>
      <c r="AI21" s="874"/>
      <c r="AJ21" s="875">
        <f>IF(ISNUMBER(STDEV(AJ8:AJ18)),STDEV(AJ8:AJ18),"-")</f>
        <v>0</v>
      </c>
      <c r="AK21" s="877"/>
      <c r="AL21" s="869">
        <f>IF(ISNUMBER(STDEV(AL8:AL18)),STDEV(AL8:AL18),"-")</f>
        <v>13.279056191361391</v>
      </c>
      <c r="AM21" s="869"/>
      <c r="AN21" s="869">
        <f>IF(ISNUMBER(STDEV(AN8:AN18)),STDEV(AN8:AN18),"-")</f>
        <v>0</v>
      </c>
      <c r="AO21" s="875">
        <f>IF(ISNUMBER(STDEV(AO8:AO18)),STDEV(AO8:AO18),"-")</f>
        <v>0</v>
      </c>
      <c r="AP21" s="922">
        <f>IF(ISNUMBER(STDEV(AP8:AP18)),STDEV(AP8:AP18),"-")</f>
        <v>5.0009386860876974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YoJAzp0ES/IMlJlKKP3vj0RsqN+RFO8uhezAVzi+6XFBCWRYf9d59fad90CkTT8+gLw9cgRaaQf6ysF8v9yKgQ==" saltValue="4VgRZjbSDT92eJwUjUwt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ARABA-ALAVA</v>
      </c>
      <c r="C3" s="426"/>
      <c r="F3" s="399"/>
      <c r="G3" s="399"/>
      <c r="H3" s="399"/>
    </row>
    <row r="4" spans="1:15" ht="13.5" thickBot="1">
      <c r="A4" s="399"/>
      <c r="B4" s="402" t="str">
        <f>Criterios!A11 &amp;"  "&amp;Criterios!B11</f>
        <v>Resumenes por Partidos Judiciales  VITORIA-GASTEIZ</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7</v>
      </c>
      <c r="D9" s="414">
        <f>Datos!BK9</f>
        <v>0</v>
      </c>
      <c r="E9" s="414">
        <f>Datos!AQ9</f>
        <v>7</v>
      </c>
      <c r="F9" s="415">
        <f>IF(ISNUMBER(E9/Datos!BH9),E9/Datos!BH9," - ")</f>
        <v>1.1666666666666667</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zIASxMXh25eXyVMjDHwigaJlJKKJX/f7EguOqJYN3h+mLDPIfqSq45BptTqiupxH22+/M7i3eZQujei16HvPyw==" saltValue="yj13QhUdmgkrUI+W3x05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ARABA-ALAVA</v>
      </c>
      <c r="C3" s="438"/>
      <c r="D3" s="439"/>
    </row>
    <row r="4" spans="1:9" ht="13.5" thickBot="1">
      <c r="B4" s="440" t="str">
        <f>Criterios!A11 &amp;"  "&amp;Criterios!B11</f>
        <v>Resumenes por Partidos Judiciales  VITORIA-GASTEIZ</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7</v>
      </c>
      <c r="C9" s="421">
        <f>Datos!AQ9</f>
        <v>7</v>
      </c>
      <c r="D9" s="414">
        <f>IF(ISNUMBER(Datos!M9),Datos!M9," - ")</f>
        <v>1609</v>
      </c>
      <c r="E9" s="415">
        <f t="shared" ref="E9:E13" si="0">IF(ISNUMBER(D9/B9),D9/B9," - ")</f>
        <v>229.85714285714286</v>
      </c>
      <c r="F9" s="414">
        <f>IF(ISNUMBER(Datos!N9),Datos!N9," - ")</f>
        <v>695</v>
      </c>
      <c r="G9" s="415">
        <f t="shared" ref="G9:G13" si="1">IF(ISNUMBER(F9/B9),F9/B9," - ")</f>
        <v>99.285714285714292</v>
      </c>
      <c r="H9" s="414">
        <f>IF(ISNUMBER(Datos!O9),Datos!O9," - ")</f>
        <v>1101</v>
      </c>
      <c r="I9" s="415">
        <f>IF(ISNUMBER(H9/B9),H9/B9," - ")</f>
        <v>157.28571428571428</v>
      </c>
    </row>
    <row r="10" spans="1:9">
      <c r="A10" s="413" t="str">
        <f>Datos!A10</f>
        <v>Jdos. Violencia contra la mujer</v>
      </c>
      <c r="B10" s="443">
        <f>Datos!AO10</f>
        <v>1</v>
      </c>
      <c r="C10" s="421">
        <f>Datos!AQ10</f>
        <v>1</v>
      </c>
      <c r="D10" s="414">
        <f>IF(ISNUMBER(Datos!M10),Datos!M10," - ")</f>
        <v>23</v>
      </c>
      <c r="E10" s="415">
        <f>IF(ISNUMBER(D10/B10),D10/B10," - ")</f>
        <v>23</v>
      </c>
      <c r="F10" s="414">
        <f>IF(ISNUMBER(Datos!N10),Datos!N10," - ")</f>
        <v>37</v>
      </c>
      <c r="G10" s="415">
        <f>IF(ISNUMBER(F10/B10),F10/B10," - ")</f>
        <v>37</v>
      </c>
      <c r="H10" s="414">
        <f>IF(ISNUMBER(Datos!O10),Datos!O10," - ")</f>
        <v>0</v>
      </c>
      <c r="I10" s="415">
        <f t="shared" ref="I10:I12" si="2">IF(ISNUMBER(H10/B10),H10/B10," - ")</f>
        <v>0</v>
      </c>
    </row>
    <row r="11" spans="1:9">
      <c r="A11" s="413" t="str">
        <f>Datos!A11</f>
        <v xml:space="preserve">Jdos. Familia                                   </v>
      </c>
      <c r="B11" s="443">
        <f>Datos!AO11</f>
        <v>2</v>
      </c>
      <c r="C11" s="421">
        <f>Datos!AQ11</f>
        <v>2</v>
      </c>
      <c r="D11" s="414">
        <f>IF(ISNUMBER(Datos!M11),Datos!M11," - ")</f>
        <v>170</v>
      </c>
      <c r="E11" s="415">
        <f t="shared" si="0"/>
        <v>85</v>
      </c>
      <c r="F11" s="414">
        <f>IF(ISNUMBER(Datos!N11),Datos!N11," - ")</f>
        <v>431</v>
      </c>
      <c r="G11" s="415">
        <f t="shared" si="1"/>
        <v>215.5</v>
      </c>
      <c r="H11" s="414">
        <f>IF(ISNUMBER(Datos!O11),Datos!O11," - ")</f>
        <v>245</v>
      </c>
      <c r="I11" s="415">
        <f t="shared" si="2"/>
        <v>122.5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10</v>
      </c>
      <c r="C13" s="997">
        <f>Datos!AR13</f>
        <v>10</v>
      </c>
      <c r="D13" s="995">
        <f>SUBTOTAL(9,D9:D12)</f>
        <v>1802</v>
      </c>
      <c r="E13" s="996">
        <f t="shared" si="0"/>
        <v>180.2</v>
      </c>
      <c r="F13" s="995">
        <f>SUBTOTAL(9,F9:F12)</f>
        <v>1163</v>
      </c>
      <c r="G13" s="996">
        <f t="shared" si="1"/>
        <v>116.3</v>
      </c>
      <c r="H13" s="995">
        <f>SUBTOTAL(9,H9:H12)</f>
        <v>1346</v>
      </c>
      <c r="I13" s="996">
        <f>IF(ISNUMBER(H13/B13),H13/B13," - ")</f>
        <v>134.6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526</v>
      </c>
      <c r="E15" s="415">
        <f t="shared" ref="E15:E18" si="3">IF(ISNUMBER(D15/B15),D15/B15," - ")</f>
        <v>131.5</v>
      </c>
      <c r="F15" s="414">
        <f>IF(ISNUMBER(Datos!N15),Datos!N15," - ")</f>
        <v>683</v>
      </c>
      <c r="G15" s="415">
        <f t="shared" ref="G15:G18" si="4">IF(ISNUMBER(F15/B15),F15/B15," - ")</f>
        <v>170.75</v>
      </c>
      <c r="H15" s="414">
        <f>IF(ISNUMBER(Datos!O15),Datos!O15," - ")</f>
        <v>31</v>
      </c>
      <c r="I15" s="415">
        <f t="shared" ref="I15:I17" si="5">IF(ISNUMBER(H15/B15),H15/B15," - ")</f>
        <v>7.75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62</v>
      </c>
      <c r="E17" s="415">
        <f>IF(ISNUMBER(D17/B17),D17/B17," - ")</f>
        <v>62</v>
      </c>
      <c r="F17" s="414">
        <f>IF(ISNUMBER(Datos!N17),Datos!N17," - ")</f>
        <v>150</v>
      </c>
      <c r="G17" s="415">
        <f>IF(ISNUMBER(F17/B17),F17/B17," - ")</f>
        <v>150</v>
      </c>
      <c r="H17" s="414">
        <f>IF(ISNUMBER(Datos!O17),Datos!O17," - ")</f>
        <v>0</v>
      </c>
      <c r="I17" s="415">
        <f t="shared" si="5"/>
        <v>0</v>
      </c>
    </row>
    <row r="18" spans="1:9" ht="14.25" thickTop="1" thickBot="1">
      <c r="A18" s="994" t="str">
        <f>Datos!A18</f>
        <v>TOTAL</v>
      </c>
      <c r="B18" s="995">
        <f>Datos!AO18</f>
        <v>5</v>
      </c>
      <c r="C18" s="997">
        <f>Datos!AR18</f>
        <v>5</v>
      </c>
      <c r="D18" s="995">
        <f>SUBTOTAL(9,D15:D17)</f>
        <v>588</v>
      </c>
      <c r="E18" s="996">
        <f t="shared" si="3"/>
        <v>117.6</v>
      </c>
      <c r="F18" s="995">
        <f>SUBTOTAL(9,F15:F17)</f>
        <v>833</v>
      </c>
      <c r="G18" s="996">
        <f t="shared" si="4"/>
        <v>166.6</v>
      </c>
      <c r="H18" s="995">
        <f>SUBTOTAL(9,H15:H17)</f>
        <v>31</v>
      </c>
      <c r="I18" s="996">
        <f>IF(ISNUMBER(H18/B18),H18/B18," - ")</f>
        <v>6.2</v>
      </c>
    </row>
    <row r="19" spans="1:9" ht="14.25" thickTop="1" thickBot="1">
      <c r="A19" s="939" t="str">
        <f>Datos!A19</f>
        <v>TOTAL JURISDICCIONES</v>
      </c>
      <c r="B19" s="940">
        <f>Datos!AP19</f>
        <v>14</v>
      </c>
      <c r="C19" s="940">
        <f>Datos!AR19</f>
        <v>14</v>
      </c>
      <c r="D19" s="940">
        <f>SUBTOTAL(9,D8:D18)</f>
        <v>2390</v>
      </c>
      <c r="E19" s="941">
        <f>IF(ISNUMBER(D19/B19),D19/B19," - ")</f>
        <v>170.71428571428572</v>
      </c>
      <c r="F19" s="940">
        <f>SUBTOTAL(9,F8:F18)</f>
        <v>1996</v>
      </c>
      <c r="G19" s="941">
        <f>IF(ISNUMBER(F19/B19),F19/B19," - ")</f>
        <v>142.57142857142858</v>
      </c>
      <c r="H19" s="940">
        <f>SUBTOTAL(9,H8:H18)</f>
        <v>1377</v>
      </c>
      <c r="I19" s="941">
        <f>IF(ISNUMBER(H19/B19),H19/B19," - ")</f>
        <v>98.357142857142861</v>
      </c>
    </row>
    <row r="22" spans="1:9">
      <c r="A22" s="402" t="str">
        <f>Criterios!A4</f>
        <v>Fecha Informe: 06 oct. 2023</v>
      </c>
    </row>
    <row r="27" spans="1:9">
      <c r="A27" s="425"/>
    </row>
  </sheetData>
  <sheetProtection algorithmName="SHA-512" hashValue="bTpRPAvKS1Espn+sqvEsIIDhZOIwwBFD6vbzFsDkDUxQ5lu1ztEyyHRP4UcP0E8BgttVDxckVXHCNpKMPIhErg==" saltValue="BI1XF0lXfQ8DD/E0o7sX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ARABA-ALAVA</v>
      </c>
    </row>
    <row r="4" spans="1:4" ht="13.5" thickBot="1">
      <c r="B4" s="402" t="str">
        <f>Criterios!A11 &amp;"  "&amp;Criterios!B11</f>
        <v>Resumenes por Partidos Judiciales  VITORIA-GASTEIZ</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405</v>
      </c>
      <c r="C9" s="450">
        <f>IF(ISNUMBER(Datos!Q9),Datos!Q9," - ")</f>
        <v>267</v>
      </c>
      <c r="D9" s="419">
        <f>IF(ISNUMBER(Datos!R9),Datos!R9," - ")</f>
        <v>6218</v>
      </c>
    </row>
    <row r="10" spans="1:4">
      <c r="A10" s="413" t="str">
        <f>Datos!A10</f>
        <v>Jdos. Violencia contra la mujer</v>
      </c>
      <c r="B10" s="449">
        <f>IF(ISNUMBER(Datos!P10),Datos!P10," - ")</f>
        <v>42</v>
      </c>
      <c r="C10" s="450">
        <f>IF(ISNUMBER(Datos!Q10),Datos!Q10," - ")</f>
        <v>31</v>
      </c>
      <c r="D10" s="419">
        <f>IF(ISNUMBER(Datos!R10),Datos!R10," - ")</f>
        <v>131</v>
      </c>
    </row>
    <row r="11" spans="1:4">
      <c r="A11" s="413" t="str">
        <f>Datos!A11</f>
        <v xml:space="preserve">Jdos. Familia                                   </v>
      </c>
      <c r="B11" s="449">
        <f>IF(ISNUMBER(Datos!P11),Datos!P11," - ")</f>
        <v>74</v>
      </c>
      <c r="C11" s="450">
        <f>IF(ISNUMBER(Datos!Q11),Datos!Q11," - ")</f>
        <v>46</v>
      </c>
      <c r="D11" s="419">
        <f>IF(ISNUMBER(Datos!R11),Datos!R11," - ")</f>
        <v>1328</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521</v>
      </c>
      <c r="C13" s="999">
        <f>SUBTOTAL(9,C9:C12)</f>
        <v>344</v>
      </c>
      <c r="D13" s="997">
        <f>SUBTOTAL(9,D9:D12)</f>
        <v>7677</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187</v>
      </c>
      <c r="C15" s="450">
        <f>IF(ISNUMBER(Datos!Q15),Datos!Q15," - ")</f>
        <v>236</v>
      </c>
      <c r="D15" s="419">
        <f>IF(ISNUMBER(Datos!R15),Datos!R15," - ")</f>
        <v>809</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2</v>
      </c>
      <c r="C17" s="450">
        <f>IF(ISNUMBER(Datos!Q17),Datos!Q17," - ")</f>
        <v>2</v>
      </c>
      <c r="D17" s="419">
        <f>IF(ISNUMBER(Datos!R17),Datos!R17," - ")</f>
        <v>3</v>
      </c>
    </row>
    <row r="18" spans="1:4" ht="14.25" thickTop="1" thickBot="1">
      <c r="A18" s="994" t="str">
        <f>Datos!A18</f>
        <v>TOTAL</v>
      </c>
      <c r="B18" s="995">
        <f>SUBTOTAL(9,B15:B17)</f>
        <v>189</v>
      </c>
      <c r="C18" s="999">
        <f>SUBTOTAL(9,C15:C17)</f>
        <v>238</v>
      </c>
      <c r="D18" s="997">
        <f>SUBTOTAL(9,D15:D17)</f>
        <v>812</v>
      </c>
    </row>
    <row r="19" spans="1:4" ht="16.5" customHeight="1" thickTop="1" thickBot="1">
      <c r="A19" s="939" t="str">
        <f>Datos!A19</f>
        <v>TOTAL JURISDICCIONES</v>
      </c>
      <c r="B19" s="944">
        <f>SUBTOTAL(9,B8:B18)</f>
        <v>710</v>
      </c>
      <c r="C19" s="945">
        <f>SUBTOTAL(9,C8:C18)</f>
        <v>582</v>
      </c>
      <c r="D19" s="946">
        <f>SUBTOTAL(9,D8:D18)</f>
        <v>8489</v>
      </c>
    </row>
    <row r="20" spans="1:4" ht="7.5" customHeight="1"/>
    <row r="21" spans="1:4" ht="6" customHeight="1"/>
    <row r="22" spans="1:4">
      <c r="A22" s="402" t="str">
        <f>Criterios!A4</f>
        <v>Fecha Informe: 06 oct. 2023</v>
      </c>
    </row>
    <row r="27" spans="1:4">
      <c r="A27" s="425"/>
    </row>
  </sheetData>
  <sheetProtection algorithmName="SHA-512" hashValue="l9kQLDYwo2E5KU1jaB71vGeJR07iGjBnHZ99UOd5qs1OXM8LOLMRtnWPYJ+t3wDVtEGcRZ/zGiHl1oxRP8MNLA==" saltValue="fWpJXo+mv54B3b32SyXN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ARABA-ALAVA</v>
      </c>
    </row>
    <row r="4" spans="1:11" ht="10.5" customHeight="1" thickBot="1">
      <c r="B4" s="402" t="str">
        <f>Criterios!A11 &amp;"  "&amp;Criterios!B11</f>
        <v>Resumenes por Partidos Judiciales  VITORIA-GASTEIZ</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0.69370294318959613</v>
      </c>
      <c r="C9" s="472">
        <f>IF(ISNUMBER(
   IF(J_V="SI",(Datos!J9-Datos!T9)/Datos!T9,(Datos!J9+Datos!Z9-(Datos!T9+Datos!AH9))/(Datos!T9+Datos!AH9))
     ),IF(J_V="SI",(Datos!J9-Datos!T9)/Datos!T9,(Datos!J9+Datos!Z9-(Datos!T9+Datos!AH9))/(Datos!T9+Datos!AH9))," - ")</f>
        <v>-3.240261978628059E-2</v>
      </c>
      <c r="D9" s="472">
        <f>IF(ISNUMBER(
   IF(J_V="SI",(Datos!K9-Datos!U9)/Datos!U9,(Datos!K9+Datos!AA9-(Datos!U9+Datos!AI9))/(Datos!U9+Datos!AI9))
     ),IF(J_V="SI",(Datos!K9-Datos!U9)/Datos!U9,(Datos!K9+Datos!AA9-(Datos!U9+Datos!AI9))/(Datos!U9+Datos!AI9))," - ")</f>
        <v>0.19351230425055929</v>
      </c>
      <c r="E9" s="472">
        <f>IF(ISNUMBER(
   IF(J_V="SI",(Datos!L9-Datos!V9)/Datos!V9,(Datos!L9+Datos!AB9-(Datos!V9+Datos!AJ9))/(Datos!V9+Datos!AJ9))
     ),IF(J_V="SI",(Datos!L9-Datos!V9)/Datos!V9,(Datos!L9+Datos!AB9-(Datos!V9+Datos!AJ9))/(Datos!V9+Datos!AJ9))," - ")</f>
        <v>0.45017510347023243</v>
      </c>
      <c r="F9" s="472">
        <f>IF(ISNUMBER((Datos!M9-Datos!W9)/Datos!W9),(Datos!M9-Datos!W9)/Datos!W9," - ")</f>
        <v>0.16341287057122197</v>
      </c>
      <c r="G9" s="473">
        <f>IF(ISNUMBER((Datos!N9-Datos!X9)/Datos!X9),(Datos!N9-Datos!X9)/Datos!X9," - ")</f>
        <v>0.37896825396825395</v>
      </c>
      <c r="H9" s="471">
        <f>IF(ISNUMBER(((NºAsuntos!G9/NºAsuntos!E9)-Datos!BD9)/Datos!BD9),((NºAsuntos!G9/NºAsuntos!E9)-Datos!BD9)/Datos!BD9," - ")</f>
        <v>0.23348029733910666</v>
      </c>
      <c r="I9" s="472">
        <f>IF(ISNUMBER(((NºAsuntos!I9/NºAsuntos!G9)-Datos!BE9)/Datos!BE9),((NºAsuntos!I9/NºAsuntos!G9)-Datos!BE9)/Datos!BE9," - ")</f>
        <v>0.21504830600036351</v>
      </c>
      <c r="J9" s="477">
        <f>IF(ISNUMBER((('Resol  Asuntos'!D9/NºAsuntos!G9)-Datos!BF9)/Datos!BF9),(('Resol  Asuntos'!D9/NºAsuntos!G9)-Datos!BF9)/Datos!BF9," - ")</f>
        <v>1.6748449145356359</v>
      </c>
      <c r="K9" s="478">
        <f>IF(ISNUMBER((((NºAsuntos!C9+NºAsuntos!E9)/NºAsuntos!G9)-Datos!BG9)/Datos!BG9),(((NºAsuntos!C9+NºAsuntos!E9)/NºAsuntos!G9)-Datos!BG9)/Datos!BG9," - ")</f>
        <v>0.11599978175290077</v>
      </c>
    </row>
    <row r="10" spans="1:11">
      <c r="A10" s="413" t="str">
        <f>Datos!A10</f>
        <v>Jdos. Violencia contra la mujer</v>
      </c>
      <c r="B10" s="471">
        <f>IF(ISNUMBER((Datos!I10-Datos!S10)/Datos!S10),(Datos!I10-Datos!S10)/Datos!S10," - ")</f>
        <v>0.1276595744680851</v>
      </c>
      <c r="C10" s="472">
        <f>IF(ISNUMBER((Datos!J10-Datos!T10)/Datos!T10),(Datos!J10-Datos!T10)/Datos!T10," - ")</f>
        <v>0.5</v>
      </c>
      <c r="D10" s="472">
        <f>IF(ISNUMBER((Datos!K10-Datos!U10)/Datos!U10),(Datos!K10-Datos!U10)/Datos!U10," - ")</f>
        <v>-0.1875</v>
      </c>
      <c r="E10" s="472">
        <f>IF(ISNUMBER((Datos!L10-Datos!V10)/Datos!V10),(Datos!L10-Datos!V10)/Datos!V10," - ")</f>
        <v>0.35338345864661652</v>
      </c>
      <c r="F10" s="472">
        <f>IF(ISNUMBER((Datos!M10-Datos!W10)/Datos!W10),(Datos!M10-Datos!W10)/Datos!W10," - ")</f>
        <v>0.15</v>
      </c>
      <c r="G10" s="473">
        <f>IF(ISNUMBER((Datos!N10-Datos!X10)/Datos!X10),(Datos!N10-Datos!X10)/Datos!X10," - ")</f>
        <v>0.42307692307692307</v>
      </c>
      <c r="H10" s="471">
        <f>IF(ISNUMBER(((NºAsuntos!G10/NºAsuntos!E10)-Datos!BD10)/Datos!BD10),((NºAsuntos!G10/NºAsuntos!E10)-Datos!BD10)/Datos!BD10," - ")</f>
        <v>-0.45833333333333331</v>
      </c>
      <c r="I10" s="472">
        <f>IF(ISNUMBER(((NºAsuntos!I10/NºAsuntos!G10)-Datos!BE10)/Datos!BE10),((NºAsuntos!I10/NºAsuntos!G10)-Datos!BE10)/Datos!BE10," - ")</f>
        <v>0.66570271833429706</v>
      </c>
      <c r="J10" s="477">
        <f>IF(ISNUMBER((('Resol  Asuntos'!D10/NºAsuntos!G10)-Datos!BF10)/Datos!BF10),(('Resol  Asuntos'!D10/NºAsuntos!G10)-Datos!BF10)/Datos!BF10," - ")</f>
        <v>0.41538461538461535</v>
      </c>
      <c r="K10" s="478">
        <f>IF(ISNUMBER((((NºAsuntos!C10+NºAsuntos!E10)/NºAsuntos!G10)-Datos!BG10)/Datos!BG10),(((NºAsuntos!C10+NºAsuntos!E10)/NºAsuntos!G10)-Datos!BG10)/Datos!BG10," - ")</f>
        <v>0.48916277093072658</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-3.4050179211469536E-2</v>
      </c>
      <c r="C11" s="472">
        <f>IF(ISNUMBER(
   IF(J_V="SI",(Datos!J11-Datos!T11)/Datos!T11,(Datos!J11+Datos!Z11-(Datos!T11+Datos!AH11))/(Datos!T11+Datos!AH11))
     ),IF(J_V="SI",(Datos!J11-Datos!T11)/Datos!T11,(Datos!J11+Datos!Z11-(Datos!T11+Datos!AH11))/(Datos!T11+Datos!AH11))," - ")</f>
        <v>4.2328042328042326E-2</v>
      </c>
      <c r="D11" s="472">
        <f>IF(ISNUMBER(
   IF(J_V="SI",(Datos!K11-Datos!U11)/Datos!U11,(Datos!K11+Datos!AA11-(Datos!U11+Datos!AI11))/(Datos!U11+Datos!AI11))
     ),IF(J_V="SI",(Datos!K11-Datos!U11)/Datos!U11,(Datos!K11+Datos!AA11-(Datos!U11+Datos!AI11))/(Datos!U11+Datos!AI11))," - ")</f>
        <v>-8.7420042643923238E-2</v>
      </c>
      <c r="E11" s="472">
        <f>IF(ISNUMBER(
   IF(J_V="SI",(Datos!L11-Datos!V11)/Datos!V11,(Datos!L11+Datos!AB11-(Datos!V11+Datos!AJ11))/(Datos!V11+Datos!AJ11))
     ),IF(J_V="SI",(Datos!L11-Datos!V11)/Datos!V11,(Datos!L11+Datos!AB11-(Datos!V11+Datos!AJ11))/(Datos!V11+Datos!AJ11))," - ")</f>
        <v>8.5688240656335457E-2</v>
      </c>
      <c r="F11" s="472">
        <f>IF(ISNUMBER((Datos!M11-Datos!W11)/Datos!W11),(Datos!M11-Datos!W11)/Datos!W11," - ")</f>
        <v>-0.2857142857142857</v>
      </c>
      <c r="G11" s="473">
        <f>IF(ISNUMBER((Datos!N11-Datos!X11)/Datos!X11),(Datos!N11-Datos!X11)/Datos!X11," - ")</f>
        <v>-0.36803519061583578</v>
      </c>
      <c r="H11" s="471">
        <f>IF(ISNUMBER(((NºAsuntos!G11/NºAsuntos!E11)-Datos!BD11)/Datos!BD11),((NºAsuntos!G11/NºAsuntos!E11)-Datos!BD11)/Datos!BD11," - ")</f>
        <v>-0.12447912720660655</v>
      </c>
      <c r="I11" s="472">
        <f>IF(ISNUMBER(((NºAsuntos!I11/NºAsuntos!G11)-Datos!BE11)/Datos!BE11),((NºAsuntos!I11/NºAsuntos!G11)-Datos!BE11)/Datos!BE11," - ")</f>
        <v>0.18969108613976954</v>
      </c>
      <c r="J11" s="477">
        <f>IF(ISNUMBER((('Resol  Asuntos'!D11/NºAsuntos!G11)-Datos!BF11)/Datos!BF11),(('Resol  Asuntos'!D11/NºAsuntos!G11)-Datos!BF11)/Datos!BF11," - ")</f>
        <v>-0.72685477019212319</v>
      </c>
      <c r="K11" s="478">
        <f>IF(ISNUMBER((((NºAsuntos!C11+NºAsuntos!E11)/NºAsuntos!G11)-Datos!BG11)/Datos!BG11),(((NºAsuntos!C11+NºAsuntos!E11)/NºAsuntos!G11)-Datos!BG11)/Datos!BG11," - ")</f>
        <v>9.6857754379282318E-2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0.48025843503230436</v>
      </c>
      <c r="C13" s="1001">
        <f>IF(ISNUMBER(
   IF(J_V="SI",(Datos!J13-Datos!T13)/Datos!T13,(Datos!J13+Datos!Z13-(Datos!T13+Datos!AH13))/(Datos!T13+Datos!AH13))
     ),IF(J_V="SI",(Datos!J13-Datos!T13)/Datos!T13,(Datos!J13+Datos!Z13-(Datos!T13+Datos!AH13))/(Datos!T13+Datos!AH13))," - ")</f>
        <v>-8.7493566649511061E-3</v>
      </c>
      <c r="D13" s="1001">
        <f>IF(ISNUMBER(
   IF(J_V="SI",(Datos!K13-Datos!U13)/Datos!U13,(Datos!K13+Datos!AA13-(Datos!U13+Datos!AI13))/(Datos!U13+Datos!AI13))
     ),IF(J_V="SI",(Datos!K13-Datos!U13)/Datos!U13,(Datos!K13+Datos!AA13-(Datos!U13+Datos!AI13))/(Datos!U13+Datos!AI13))," - ")</f>
        <v>0.11668484187568157</v>
      </c>
      <c r="E13" s="1001">
        <f>IF(ISNUMBER(
   IF(J_V="SI",(Datos!L13-Datos!V13)/Datos!V13,(Datos!L13+Datos!AB13-(Datos!V13+Datos!AJ13))/(Datos!V13+Datos!AJ13))
     ),IF(J_V="SI",(Datos!L13-Datos!V13)/Datos!V13,(Datos!L13+Datos!AB13-(Datos!V13+Datos!AJ13))/(Datos!V13+Datos!AJ13))," - ")</f>
        <v>0.35575383207504002</v>
      </c>
      <c r="F13" s="1002">
        <f>IF(ISNUMBER((Datos!M13-Datos!W13)/Datos!W13),(Datos!M13-Datos!W13)/Datos!W13," - ")</f>
        <v>9.8110907982937229E-2</v>
      </c>
      <c r="G13" s="1003">
        <f>IF(ISNUMBER((Datos!N13-Datos!X13)/Datos!X13),(Datos!N13-Datos!X13)/Datos!X13," - ")</f>
        <v>-4.0429042904290426E-2</v>
      </c>
      <c r="H13" s="1003">
        <f>IF(ISNUMBER(((NºAsuntos!G13/NºAsuntos!E13)-Datos!BD13)/Datos!BD13),((NºAsuntos!G13/NºAsuntos!E13)-Datos!BD13)/Datos!BD13," - ")</f>
        <v>0.12654135397946475</v>
      </c>
      <c r="I13" s="1003">
        <f>IF(ISNUMBER(((NºAsuntos!I13/NºAsuntos!G13)-Datos!BE13)/Datos!BE13),((NºAsuntos!I13/NºAsuntos!G13)-Datos!BE13)/Datos!BE13," - ")</f>
        <v>0.21408814845001134</v>
      </c>
      <c r="J13" s="1003">
        <f>IF(ISNUMBER((('Resol  Asuntos'!D13/NºAsuntos!G13)-Datos!BF13)/Datos!BF13),(('Resol  Asuntos'!D13/NºAsuntos!G13)-Datos!BF13)/Datos!BF13," - ")</f>
        <v>0.33806391220978449</v>
      </c>
      <c r="K13" s="1003">
        <f>IF(ISNUMBER((((NºAsuntos!C13+NºAsuntos!E13)/NºAsuntos!G13)-Datos!BG13)/Datos!BG13),(((NºAsuntos!C13+NºAsuntos!E13)/NºAsuntos!G13)-Datos!BG13)/Datos!BG13," - ")</f>
        <v>0.11458244536577794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0.10687022900763359</v>
      </c>
      <c r="C15" s="472">
        <f>IF(ISNUMBER(
   IF(D_I="SI",(Datos!J15-Datos!T15)/Datos!T15,(Datos!J15+Datos!AD15-(Datos!T15+Datos!AL15))/(Datos!T15+Datos!AL15))
     ),IF(D_I="SI",(Datos!J15-Datos!T15)/Datos!T15,(Datos!J15+Datos!AD15-(Datos!T15+Datos!AL15))/(Datos!T15+Datos!AL15))," - ")</f>
        <v>-0.10041077133728891</v>
      </c>
      <c r="D15" s="472">
        <f>IF(ISNUMBER(
   IF(D_I="SI",(Datos!K15-Datos!U15)/Datos!U15,(Datos!K15+Datos!AE15-(Datos!U15+Datos!AM15))/(Datos!U15+Datos!AM15))
     ),IF(D_I="SI",(Datos!K15-Datos!U15)/Datos!U15,(Datos!K15+Datos!AE15-(Datos!U15+Datos!AM15))/(Datos!U15+Datos!AM15))," - ")</f>
        <v>-0.26158510177566047</v>
      </c>
      <c r="E15" s="472">
        <f>IF(ISNUMBER(
   IF(D_I="SI",(Datos!L15-Datos!V15)/Datos!V15,(Datos!L15+Datos!AF15-(Datos!V15+Datos!AN15))/(Datos!V15+Datos!AN15))
     ),IF(D_I="SI",(Datos!L15-Datos!V15)/Datos!V15,(Datos!L15+Datos!AF15-(Datos!V15+Datos!AN15))/(Datos!V15+Datos!AN15))," - ")</f>
        <v>0.21237641889417797</v>
      </c>
      <c r="F15" s="472">
        <f>IF(ISNUMBER((Datos!M15-Datos!W15)/Datos!W15),(Datos!M15-Datos!W15)/Datos!W15," - ")</f>
        <v>-0.25811001410437234</v>
      </c>
      <c r="G15" s="473">
        <f>IF(ISNUMBER((Datos!N15-Datos!X15)/Datos!X15),(Datos!N15-Datos!X15)/Datos!X15," - ")</f>
        <v>-0.22120866590649943</v>
      </c>
      <c r="H15" s="471">
        <f>IF(ISNUMBER(((NºAsuntos!G15/NºAsuntos!E15)-Datos!BD15)/Datos!BD15),((NºAsuntos!G15/NºAsuntos!E15)-Datos!BD15)/Datos!BD15," - ")</f>
        <v>-0.17916436224782947</v>
      </c>
      <c r="I15" s="472">
        <f>IF(ISNUMBER(((NºAsuntos!I15/NºAsuntos!G15)-Datos!BE15)/Datos!BE15),((NºAsuntos!I15/NºAsuntos!G15)-Datos!BE15)/Datos!BE15," - ")</f>
        <v>0.6418634318044909</v>
      </c>
      <c r="J15" s="477">
        <f>IF(ISNUMBER((('Resol  Asuntos'!D15/NºAsuntos!G15)-Datos!BF15)/Datos!BF15),(('Resol  Asuntos'!D15/NºAsuntos!G15)-Datos!BF15)/Datos!BF15," - ")</f>
        <v>4.7061451219967861E-3</v>
      </c>
      <c r="K15" s="478">
        <f>IF(ISNUMBER((((NºAsuntos!C15+NºAsuntos!E15)/NºAsuntos!G15)-Datos!BG15)/Datos!BG15),(((NºAsuntos!C15+NºAsuntos!E15)/NºAsuntos!G15)-Datos!BG15)/Datos!BG15," - ")</f>
        <v>0.37453035861150646</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3.2200357781753133E-2</v>
      </c>
      <c r="C17" s="472">
        <f>IF(ISNUMBER(
   IF(D_I="SI",(Datos!J17-Datos!T17)/Datos!T17,(Datos!J17+Datos!AD17-(Datos!T17+Datos!AL17))/(Datos!T17+Datos!AL17))
     ),IF(D_I="SI",(Datos!J17-Datos!T17)/Datos!T17,(Datos!J17+Datos!AD17-(Datos!T17+Datos!AL17))/(Datos!T17+Datos!AL17))," - ")</f>
        <v>-9.0293453724604969E-2</v>
      </c>
      <c r="D17" s="472">
        <f>IF(ISNUMBER(
   IF(D_I="SI",(Datos!K17-Datos!U17)/Datos!U17,(Datos!K17+Datos!AE17-(Datos!U17+Datos!AM17))/(Datos!U17+Datos!AM17))
     ),IF(D_I="SI",(Datos!K17-Datos!U17)/Datos!U17,(Datos!K17+Datos!AE17-(Datos!U17+Datos!AM17))/(Datos!U17+Datos!AM17))," - ")</f>
        <v>-0.28542510121457487</v>
      </c>
      <c r="E17" s="472">
        <f>IF(ISNUMBER(
   IF(D_I="SI",(Datos!L17-Datos!V17)/Datos!V17,(Datos!L17+Datos!AF17-(Datos!V17+Datos!AN17))/(Datos!V17+Datos!AN17))
     ),IF(D_I="SI",(Datos!L17-Datos!V17)/Datos!V17,(Datos!L17+Datos!AF17-(Datos!V17+Datos!AN17))/(Datos!V17+Datos!AN17))," - ")</f>
        <v>0.1965648854961832</v>
      </c>
      <c r="F17" s="472">
        <f>IF(ISNUMBER((Datos!M17-Datos!W17)/Datos!W17),(Datos!M17-Datos!W17)/Datos!W17," - ")</f>
        <v>0.14814814814814814</v>
      </c>
      <c r="G17" s="473">
        <f>IF(ISNUMBER((Datos!N17-Datos!X17)/Datos!X17),(Datos!N17-Datos!X17)/Datos!X17," - ")</f>
        <v>2.0408163265306121E-2</v>
      </c>
      <c r="H17" s="471">
        <f>IF(ISNUMBER(((NºAsuntos!G17/NºAsuntos!E17)-Datos!BD17)/Datos!BD17),((NºAsuntos!G17/NºAsuntos!E17)-Datos!BD17)/Datos!BD17," - ")</f>
        <v>-0.21449955294803147</v>
      </c>
      <c r="I17" s="472">
        <f>IF(ISNUMBER(((NºAsuntos!I17/NºAsuntos!G17)-Datos!BE17)/Datos!BE17),((NºAsuntos!I17/NºAsuntos!G17)-Datos!BE17)/Datos!BE17," - ")</f>
        <v>0.6745128992496161</v>
      </c>
      <c r="J17" s="477">
        <f>IF(ISNUMBER((('Resol  Asuntos'!D17/NºAsuntos!G17)-Datos!BF17)/Datos!BF17),(('Resol  Asuntos'!D17/NºAsuntos!G17)-Datos!BF17)/Datos!BF17," - ")</f>
        <v>0.60675689854160098</v>
      </c>
      <c r="K17" s="478">
        <f>IF(ISNUMBER((((NºAsuntos!C17+NºAsuntos!E17)/NºAsuntos!G17)-Datos!BG17)/Datos!BG17),(((NºAsuntos!C17+NºAsuntos!E17)/NºAsuntos!G17)-Datos!BG17)/Datos!BG17," - ")</f>
        <v>0.36870734451776332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9.4259818731117828E-2</v>
      </c>
      <c r="C18" s="1001">
        <f>IF(ISNUMBER(
   IF(Criterios!B14="SI",(Datos!J18-Datos!T18)/Datos!T18,(Datos!J18+Datos!AD18-(Datos!T18+Datos!AL18))/(Datos!T18+Datos!AL18))
     ),IF(Criterios!B14="SI",(Datos!J18-Datos!T18)/Datos!T18,(Datos!J18+Datos!AD18-(Datos!T18+Datos!AL18))/(Datos!T18+Datos!AL18))," - ")</f>
        <v>-9.8709187547456334E-2</v>
      </c>
      <c r="D18" s="1001">
        <f>IF(ISNUMBER(
   IF(Criterios!B14="SI",(Datos!K18-Datos!U18)/Datos!U18,(Datos!K18+Datos!AE18-(Datos!U18+Datos!AM18))/(Datos!U18+Datos!AM18))
     ),IF(Criterios!B14="SI",(Datos!K18-Datos!U18)/Datos!U18,(Datos!K18+Datos!AE18-(Datos!U18+Datos!AM18))/(Datos!U18+Datos!AM18))," - ")</f>
        <v>-0.26578665715305028</v>
      </c>
      <c r="E18" s="1001">
        <f>IF(ISNUMBER(
   IF(Criterios!B14="SI",(Datos!L18-Datos!V18)/Datos!V18,(Datos!L18+Datos!AF18-(Datos!V18+Datos!AN18))/(Datos!V18+Datos!AN18))
     ),IF(Criterios!B14="SI",(Datos!L18-Datos!V18)/Datos!V18,(Datos!L18+Datos!AF18-(Datos!V18+Datos!AN18))/(Datos!V18+Datos!AN18))," - ")</f>
        <v>0.20983102918586791</v>
      </c>
      <c r="F18" s="1002">
        <f>IF(ISNUMBER((Datos!M18-Datos!W18)/Datos!W18),(Datos!M18-Datos!W18)/Datos!W18," - ")</f>
        <v>-0.22935779816513763</v>
      </c>
      <c r="G18" s="1003">
        <f>IF(ISNUMBER((Datos!N18-Datos!X18)/Datos!X18),(Datos!N18-Datos!X18)/Datos!X18," - ")</f>
        <v>-0.1865234375</v>
      </c>
      <c r="H18" s="1003">
        <f>IF(ISNUMBER(((NºAsuntos!G18/NºAsuntos!E18)-Datos!BD18)/Datos!BD18),((NºAsuntos!G18/NºAsuntos!E18)-Datos!BD18)/Datos!BD18," - ")</f>
        <v>-0.18537576029533898</v>
      </c>
      <c r="I18" s="1003">
        <f>IF(ISNUMBER(((NºAsuntos!I18/NºAsuntos!G18)-Datos!BE18)/Datos!BE18),((NºAsuntos!I18/NºAsuntos!G18)-Datos!BE18)/Datos!BE18," - ")</f>
        <v>0.64779221322059644</v>
      </c>
      <c r="J18" s="1003">
        <f>IF(ISNUMBER((('Resol  Asuntos'!D18/NºAsuntos!G18)-Datos!BF18)/Datos!BF18),(('Resol  Asuntos'!D18/NºAsuntos!G18)-Datos!BF18)/Datos!BF18," - ")</f>
        <v>4.9616176745927776E-2</v>
      </c>
      <c r="K18" s="1003">
        <f>IF(ISNUMBER((((NºAsuntos!C18+NºAsuntos!E18)/NºAsuntos!G18)-Datos!BG18)/Datos!BG18),(((NºAsuntos!C18+NºAsuntos!E18)/NºAsuntos!G18)-Datos!BG18)/Datos!BG18," - ")</f>
        <v>0.37391716925185775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0.30965415943383628</v>
      </c>
      <c r="C19" s="948">
        <f>IF(ISNUMBER(
   IF(J_V="SI",(Datos!J19-Datos!T19)/Datos!T19,(Datos!J19+Datos!Z19-(Datos!T19+Datos!AH19))/(Datos!T19+Datos!AH19))
     ),IF(J_V="SI",(Datos!J19-Datos!T19)/Datos!T19,(Datos!J19+Datos!Z19-(Datos!T19+Datos!AH19))/(Datos!T19+Datos!AH19))," - ")</f>
        <v>-4.5092024539877304E-2</v>
      </c>
      <c r="D19" s="948">
        <f>IF(ISNUMBER(
   IF(J_V="SI",(Datos!K19-Datos!U19)/Datos!U19,(Datos!K19+Datos!AA19-(Datos!U19+Datos!AI19))/(Datos!U19+Datos!AI19))
     ),IF(J_V="SI",(Datos!K19-Datos!U19)/Datos!U19,(Datos!K19+Datos!AA19-(Datos!U19+Datos!AI19))/(Datos!U19+Datos!AI19))," - ")</f>
        <v>-4.898779168598362E-2</v>
      </c>
      <c r="E19" s="948">
        <f>IF(ISNUMBER(
   IF(J_V="SI",(Datos!L19-Datos!V19)/Datos!V19,(Datos!L19+Datos!AB19-(Datos!V19+Datos!AJ19))/(Datos!V19+Datos!AJ19))
     ),IF(J_V="SI",(Datos!L19-Datos!V19)/Datos!V19,(Datos!L19+Datos!AB19-(Datos!V19+Datos!AJ19))/(Datos!V19+Datos!AJ19))," - ")</f>
        <v>0.29346970889063728</v>
      </c>
      <c r="F19" s="949">
        <f>IF(ISNUMBER((Datos!M19-Datos!W19)/Datos!W19),(Datos!M19-Datos!W19)/Datos!W19," - ")</f>
        <v>-5.8236272878535774E-3</v>
      </c>
      <c r="G19" s="950">
        <f>IF(ISNUMBER((Datos!N19-Datos!X19)/Datos!X19),(Datos!N19-Datos!X19)/Datos!X19," - ")</f>
        <v>-0.1073345259391771</v>
      </c>
      <c r="H19" s="951">
        <f>IF(ISNUMBER((Tasas!B19-Datos!BD19)/Datos!BD19),(Tasas!B19-Datos!BD19)/Datos!BD19," - ")</f>
        <v>-4.0797304517528618E-3</v>
      </c>
      <c r="I19" s="952">
        <f>IF(ISNUMBER((Tasas!C19-Datos!BE19)/Datos!BE19),(Tasas!C19-Datos!BE19)/Datos!BE19," - ")</f>
        <v>0.36009790156504928</v>
      </c>
      <c r="J19" s="953">
        <f>IF(ISNUMBER((Tasas!D19-Datos!BF19)/Datos!BF19),(Tasas!D19-Datos!BF19)/Datos!BF19," - ")</f>
        <v>0.27633915551298616</v>
      </c>
      <c r="K19" s="953">
        <f>IF(ISNUMBER((Tasas!E19-Datos!BG19)/Datos!BG19),(Tasas!E19-Datos!BG19)/Datos!BG19," - ")</f>
        <v>0.20350708663934489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87vFnBqhHvrz0gj5AXBrIJ5O3HfUF896/N+Xao8AeuXmAQgsczm4LyGXCLSRvIAHh5EzjPQvZlBQpyolvya65A==" saltValue="HuZJKjykPeZ3s+BePwik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ARABA-ALAVA</v>
      </c>
    </row>
    <row r="4" spans="1:7" ht="11.25" customHeight="1" thickBot="1">
      <c r="B4" s="402" t="str">
        <f>Criterios!A11 &amp;"  "&amp;Criterios!B11</f>
        <v>Resumenes por Partidos Judiciales  VITORIA-GASTEIZ</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1.1403633772711079</v>
      </c>
      <c r="C9" s="459">
        <f>IF(ISNUMBER(NºAsuntos!I9/NºAsuntos!G9),NºAsuntos!I9/NºAsuntos!G9," - ")</f>
        <v>1.4229928147453921</v>
      </c>
      <c r="D9" s="460">
        <f>IF(ISNUMBER('Resol  Asuntos'!D9/NºAsuntos!G9),'Resol  Asuntos'!D9/NºAsuntos!G9," - ")</f>
        <v>0.50265542018119336</v>
      </c>
      <c r="E9" s="461">
        <f>IF(ISNUMBER((NºAsuntos!C9+NºAsuntos!E9)/NºAsuntos!G9),(NºAsuntos!C9+NºAsuntos!E9)/NºAsuntos!G9," - ")</f>
        <v>2.4229928147453919</v>
      </c>
      <c r="G9" s="479"/>
    </row>
    <row r="10" spans="1:7">
      <c r="A10" s="413" t="str">
        <f>Datos!A10</f>
        <v>Jdos. Violencia contra la mujer</v>
      </c>
      <c r="B10" s="458">
        <f>IF(ISNUMBER(NºAsuntos!G10/NºAsuntos!E10),NºAsuntos!G10/NºAsuntos!E10," - ")</f>
        <v>0.65</v>
      </c>
      <c r="C10" s="459">
        <f>IF(ISNUMBER(NºAsuntos!I10/NºAsuntos!G10),NºAsuntos!I10/NºAsuntos!G10," - ")</f>
        <v>4.615384615384615</v>
      </c>
      <c r="D10" s="460">
        <f>IF(ISNUMBER('Resol  Asuntos'!D10/NºAsuntos!G10),'Resol  Asuntos'!D10/NºAsuntos!G10," - ")</f>
        <v>0.58974358974358976</v>
      </c>
      <c r="E10" s="461">
        <f>IF(ISNUMBER((NºAsuntos!C10+NºAsuntos!E10)/NºAsuntos!G10),(NºAsuntos!C10+NºAsuntos!E10)/NºAsuntos!G10," - ")</f>
        <v>5.615384615384615</v>
      </c>
      <c r="G10" s="479"/>
    </row>
    <row r="11" spans="1:7">
      <c r="A11" s="413" t="str">
        <f>Datos!A11</f>
        <v xml:space="preserve">Jdos. Familia                                   </v>
      </c>
      <c r="B11" s="458">
        <f>IF(ISNUMBER(NºAsuntos!G11/NºAsuntos!E11),NºAsuntos!G11/NºAsuntos!E11," - ")</f>
        <v>0.86903553299492386</v>
      </c>
      <c r="C11" s="459">
        <f>IF(ISNUMBER(NºAsuntos!I11/NºAsuntos!G11),NºAsuntos!I11/NºAsuntos!G11," - ")</f>
        <v>1.391355140186916</v>
      </c>
      <c r="D11" s="460">
        <f>IF(ISNUMBER('Resol  Asuntos'!D11/NºAsuntos!G11),'Resol  Asuntos'!D11/NºAsuntos!G11," - ")</f>
        <v>0.19859813084112149</v>
      </c>
      <c r="E11" s="461">
        <f>IF(ISNUMBER((NºAsuntos!C11+NºAsuntos!E11)/NºAsuntos!G11),(NºAsuntos!C11+NºAsuntos!E11)/NºAsuntos!G11," - ")</f>
        <v>2.4100467289719627</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1.063343717549325</v>
      </c>
      <c r="C13" s="1005">
        <f>IF(ISNUMBER(NºAsuntos!I13/NºAsuntos!G13),NºAsuntos!I13/NºAsuntos!G13," - ")</f>
        <v>1.44677734375</v>
      </c>
      <c r="D13" s="1006">
        <f>IF(ISNUMBER('Resol  Asuntos'!D13/NºAsuntos!G13),'Resol  Asuntos'!D13/NºAsuntos!G13," - ")</f>
        <v>0.43994140625</v>
      </c>
      <c r="E13" s="1007">
        <f>IF(ISNUMBER((NºAsuntos!C13+NºAsuntos!E13)/NºAsuntos!G13),(NºAsuntos!C13+NºAsuntos!E13)/NºAsuntos!G13," - ")</f>
        <v>2.45068359375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0.86504312531709793</v>
      </c>
      <c r="C15" s="459">
        <f>IF(ISNUMBER(NºAsuntos!I15/NºAsuntos!G15),NºAsuntos!I15/NºAsuntos!G15," - ")</f>
        <v>1.9419354838709677</v>
      </c>
      <c r="D15" s="460">
        <f>IF(ISNUMBER('Resol  Asuntos'!D15/NºAsuntos!G15),'Resol  Asuntos'!D15/NºAsuntos!G15," - ")</f>
        <v>0.3085043988269795</v>
      </c>
      <c r="E15" s="461">
        <f>IF(ISNUMBER((NºAsuntos!C15+NºAsuntos!E15)/NºAsuntos!G15),(NºAsuntos!C15+NºAsuntos!E15)/NºAsuntos!G15," - ")</f>
        <v>2.9419354838709677</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0.87593052109181146</v>
      </c>
      <c r="C17" s="459">
        <f>IF(ISNUMBER(NºAsuntos!I17/NºAsuntos!G17),NºAsuntos!I17/NºAsuntos!G17," - ")</f>
        <v>1.7762039660056657</v>
      </c>
      <c r="D17" s="460">
        <f>IF(ISNUMBER('Resol  Asuntos'!D17/NºAsuntos!G17),'Resol  Asuntos'!D17/NºAsuntos!G17," - ")</f>
        <v>0.17563739376770537</v>
      </c>
      <c r="E17" s="461">
        <f>IF(ISNUMBER((NºAsuntos!C17+NºAsuntos!E17)/NºAsuntos!G17),(NºAsuntos!C17+NºAsuntos!E17)/NºAsuntos!G17," - ")</f>
        <v>2.7762039660056659</v>
      </c>
      <c r="G17" s="479"/>
    </row>
    <row r="18" spans="1:7" ht="14.25" thickTop="1" thickBot="1">
      <c r="A18" s="994" t="str">
        <f>Datos!A18</f>
        <v>TOTAL</v>
      </c>
      <c r="B18" s="1004">
        <f>IF(ISNUMBER(NºAsuntos!G18/NºAsuntos!E18),NºAsuntos!G18/NºAsuntos!E18," - ")</f>
        <v>0.8668913226621735</v>
      </c>
      <c r="C18" s="1005">
        <f>IF(ISNUMBER(NºAsuntos!I18/NºAsuntos!G18),NºAsuntos!I18/NºAsuntos!G18," - ")</f>
        <v>1.9135082604470359</v>
      </c>
      <c r="D18" s="1008">
        <f>IF(ISNUMBER('Resol  Asuntos'!D18/NºAsuntos!G18),'Resol  Asuntos'!D18/NºAsuntos!G18," - ")</f>
        <v>0.2857142857142857</v>
      </c>
      <c r="E18" s="1007">
        <f>IF(ISNUMBER((NºAsuntos!C18+NºAsuntos!E18)/NºAsuntos!G18),(NºAsuntos!C18+NºAsuntos!E18)/NºAsuntos!G18," - ")</f>
        <v>2.9135082604470361</v>
      </c>
      <c r="G18" s="479"/>
    </row>
    <row r="19" spans="1:7" ht="15.75" customHeight="1" thickTop="1" thickBot="1">
      <c r="A19" s="939" t="str">
        <f>Datos!A19</f>
        <v>TOTAL JURISDICCIONES</v>
      </c>
      <c r="B19" s="954">
        <f>IF(ISNUMBER(NºAsuntos!G19/NºAsuntos!E19),NºAsuntos!G19/NºAsuntos!E19," - ")</f>
        <v>0.98843559267587533</v>
      </c>
      <c r="C19" s="955">
        <f>IF(ISNUMBER(NºAsuntos!I19/NºAsuntos!G19),NºAsuntos!I19/NºAsuntos!G19," - ")</f>
        <v>1.6028599285017875</v>
      </c>
      <c r="D19" s="956">
        <f>IF(ISNUMBER('Resol  Asuntos'!D19/NºAsuntos!G19),'Resol  Asuntos'!D19/NºAsuntos!G19," - ")</f>
        <v>0.38836529086772831</v>
      </c>
      <c r="E19" s="957">
        <f>IF(ISNUMBER((NºAsuntos!C19+NºAsuntos!E19)/NºAsuntos!G19),(NºAsuntos!C19+NºAsuntos!E19)/NºAsuntos!G19," - ")</f>
        <v>2.6054598635034125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DvJAstwC8eCPsexx9U90Jkv8y09dMm9FODugjAmrJWKIePUxRHdzjDgs8JzFZ/IK1P5A1kvQ23YcaMdx+lPUcg==" saltValue="gMSblDHvd/U4e3Ngr39m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ARABA-ALAVA</v>
      </c>
      <c r="N2" s="338" t="str">
        <f>Criterios!A11 &amp;"  "&amp;Criterios!B11</f>
        <v>Resumenes por Partidos Judiciales  VITORIA-GASTEIZ</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7</v>
      </c>
      <c r="B9" s="181" t="s">
        <v>249</v>
      </c>
      <c r="C9" s="164" t="str">
        <f>Datos!A9</f>
        <v xml:space="preserve">Jdos. 1ª Instancia   </v>
      </c>
      <c r="D9" s="164"/>
      <c r="E9" s="1201">
        <f>IF(ISNUMBER(Datos!AQ9),Datos!AQ9," - ")</f>
        <v>7</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405</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267</v>
      </c>
      <c r="Y9" s="343">
        <f>SUM(W9:X9)</f>
        <v>267</v>
      </c>
      <c r="Z9" s="344" t="str">
        <f>IF(ISNUMBER(Datos!CC9),Datos!CC9," - ")</f>
        <v xml:space="preserve"> - </v>
      </c>
      <c r="AA9" s="341" t="str">
        <f>IF(ISNUMBER(IF(J_V="SI",Datos!L9,Datos!L9+Datos!AB9)-IF(Monitorios="SI",Datos!CD9,0)),
                          IF(J_V="SI",Datos!L9,Datos!L9+Datos!AB9)-IF(Monitorios="SI",Datos!CD9,0),
                          " - ")</f>
        <v xml:space="preserve"> - </v>
      </c>
      <c r="AB9" s="343">
        <f>IF(ISNUMBER(Datos!R9),Datos!R9," - ")</f>
        <v>6218</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1609</v>
      </c>
      <c r="AJ9" s="233" t="str">
        <f>IF(ISNUMBER(Datos!BW9),Datos!BW9," - ")</f>
        <v xml:space="preserve"> - </v>
      </c>
      <c r="AK9" s="232" t="str">
        <f>IF(ISNUMBER(Datos!BX9),Datos!BX9," - ")</f>
        <v xml:space="preserve"> - </v>
      </c>
      <c r="AL9" s="247">
        <f>IF(ISNUMBER(NºAsuntos!G9/NºAsuntos!E9),NºAsuntos!G9/NºAsuntos!E9," - ")</f>
        <v>1.1403633772711079</v>
      </c>
      <c r="AM9" s="264">
        <f>IF(ISNUMBER(((NºAsuntos!I9/NºAsuntos!G9)*11)/factor_trimestre),((NºAsuntos!I9/NºAsuntos!G9)*11)/factor_trimestre," - ")</f>
        <v>4.2689784442361765</v>
      </c>
      <c r="AN9" s="248">
        <f>IF(ISNUMBER('Resol  Asuntos'!D9/NºAsuntos!G9),'Resol  Asuntos'!D9/NºAsuntos!G9," - ")</f>
        <v>0.50265542018119336</v>
      </c>
      <c r="AO9" s="249">
        <f>IF(ISNUMBER((NºAsuntos!C9+NºAsuntos!E9)/NºAsuntos!G9),(NºAsuntos!C9+NºAsuntos!E9)/NºAsuntos!G9," - ")</f>
        <v>2.4229928147453919</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159</v>
      </c>
      <c r="G10" s="342">
        <f>IF(ISNUMBER(Datos!I10),Datos!I10," - ")</f>
        <v>159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39</v>
      </c>
      <c r="X10" s="230">
        <f>IF(ISNUMBER(Datos!Q10),Datos!Q10," - ")</f>
        <v>31</v>
      </c>
      <c r="Y10" s="343">
        <f t="shared" ref="Y10:Y12" si="0">SUM(W10:X10)</f>
        <v>70</v>
      </c>
      <c r="Z10" s="344" t="str">
        <f>IF(ISNUMBER(Datos!CC10),Datos!CC10," - ")</f>
        <v xml:space="preserve"> - </v>
      </c>
      <c r="AA10" s="341">
        <f>IF(ISNUMBER(Datos!L10),Datos!L10,"-")</f>
        <v>180</v>
      </c>
      <c r="AB10" s="343">
        <f>IF(ISNUMBER(Datos!R10),Datos!R10," - ")</f>
        <v>131</v>
      </c>
      <c r="AC10" s="343">
        <f t="shared" ref="AC10:AC12" si="1">IF(ISNUMBER(AA10+AB10),AA10+AB10," - ")</f>
        <v>311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23</v>
      </c>
      <c r="AJ10" s="235" t="str">
        <f>IF(ISNUMBER(Datos!BW10),Datos!BW10," - ")</f>
        <v xml:space="preserve"> - </v>
      </c>
      <c r="AK10" s="236" t="str">
        <f>IF(ISNUMBER(Datos!BX10),Datos!BX10," - ")</f>
        <v xml:space="preserve"> - </v>
      </c>
      <c r="AL10" s="247">
        <f>IF(ISNUMBER(NºAsuntos!G10/NºAsuntos!E10),NºAsuntos!G10/NºAsuntos!E10," - ")</f>
        <v>0.65</v>
      </c>
      <c r="AM10" s="264">
        <f>IF(ISNUMBER(((NºAsuntos!I10/NºAsuntos!G10)*11)/factor_trimestre),((NºAsuntos!I10/NºAsuntos!G10)*11)/factor_trimestre," - ")</f>
        <v>13.846153846153847</v>
      </c>
      <c r="AN10" s="248">
        <f>IF(ISNUMBER('Resol  Asuntos'!D10/NºAsuntos!G10),'Resol  Asuntos'!D10/NºAsuntos!G10," - ")</f>
        <v>0.58974358974358976</v>
      </c>
      <c r="AO10" s="249">
        <f>IF(ISNUMBER((NºAsuntos!C10+NºAsuntos!E10)/NºAsuntos!G10),(NºAsuntos!C10+NºAsuntos!E10)/NºAsuntos!G10," - ")</f>
        <v>5.615384615384615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74</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46</v>
      </c>
      <c r="Y11" s="343">
        <f t="shared" si="0"/>
        <v>46</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1328</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170</v>
      </c>
      <c r="AJ11" s="235" t="str">
        <f>IF(ISNUMBER(Datos!BW11),Datos!BW11," - ")</f>
        <v xml:space="preserve"> - </v>
      </c>
      <c r="AK11" s="236" t="str">
        <f>IF(ISNUMBER(Datos!BX11),Datos!BX11," - ")</f>
        <v xml:space="preserve"> - </v>
      </c>
      <c r="AL11" s="247">
        <f>IF(ISNUMBER(NºAsuntos!G11/NºAsuntos!E11),NºAsuntos!G11/NºAsuntos!E11," - ")</f>
        <v>0.86903553299492386</v>
      </c>
      <c r="AM11" s="264">
        <f>IF(ISNUMBER(((NºAsuntos!I11/NºAsuntos!G11)*11)/factor_trimestre),((NºAsuntos!I11/NºAsuntos!G11)*11)/factor_trimestre," - ")</f>
        <v>4.1740654205607477</v>
      </c>
      <c r="AN11" s="248">
        <f>IF(ISNUMBER('Resol  Asuntos'!D11/NºAsuntos!G11),'Resol  Asuntos'!D11/NºAsuntos!G11," - ")</f>
        <v>0.19859813084112149</v>
      </c>
      <c r="AO11" s="249">
        <f>IF(ISNUMBER((NºAsuntos!C11+NºAsuntos!E11)/NºAsuntos!G11),(NºAsuntos!C11+NºAsuntos!E11)/NºAsuntos!G11," - ")</f>
        <v>2.4100467289719627</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10</v>
      </c>
      <c r="F13" s="1011">
        <f t="shared" si="3"/>
        <v>159</v>
      </c>
      <c r="G13" s="1012">
        <f t="shared" si="3"/>
        <v>159</v>
      </c>
      <c r="H13" s="1011">
        <f t="shared" si="3"/>
        <v>0</v>
      </c>
      <c r="I13" s="1013">
        <f t="shared" si="3"/>
        <v>0</v>
      </c>
      <c r="J13" s="1013">
        <f t="shared" si="3"/>
        <v>0</v>
      </c>
      <c r="K13" s="1013">
        <f t="shared" si="3"/>
        <v>0</v>
      </c>
      <c r="L13" s="1013">
        <f t="shared" si="3"/>
        <v>521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39</v>
      </c>
      <c r="X13" s="1013">
        <f t="shared" si="4"/>
        <v>344</v>
      </c>
      <c r="Y13" s="1014">
        <f t="shared" si="4"/>
        <v>383</v>
      </c>
      <c r="Z13" s="1014">
        <f t="shared" si="4"/>
        <v>0</v>
      </c>
      <c r="AA13" s="1014">
        <f t="shared" si="4"/>
        <v>180</v>
      </c>
      <c r="AB13" s="1014">
        <f t="shared" si="4"/>
        <v>7677</v>
      </c>
      <c r="AC13" s="1014">
        <f t="shared" si="4"/>
        <v>311</v>
      </c>
      <c r="AD13" s="1014">
        <f t="shared" si="4"/>
        <v>0</v>
      </c>
      <c r="AE13" s="1018">
        <f t="shared" si="4"/>
        <v>0</v>
      </c>
      <c r="AF13" s="1011">
        <f t="shared" si="4"/>
        <v>0</v>
      </c>
      <c r="AG13" s="1019">
        <f t="shared" si="4"/>
        <v>0</v>
      </c>
      <c r="AH13" s="1016">
        <f t="shared" si="4"/>
        <v>0</v>
      </c>
      <c r="AI13" s="1011">
        <f t="shared" si="4"/>
        <v>1802</v>
      </c>
      <c r="AJ13" s="1013">
        <f t="shared" si="4"/>
        <v>0</v>
      </c>
      <c r="AK13" s="1016">
        <f>SUBTOTAL(9,AK9:AK12)</f>
        <v>0</v>
      </c>
      <c r="AL13" s="1020">
        <f>IF(ISNUMBER(NºAsuntos!G13/NºAsuntos!E13),NºAsuntos!G13/NºAsuntos!E13," - ")</f>
        <v>1.063343717549325</v>
      </c>
      <c r="AM13" s="1020">
        <f>IF(ISNUMBER(((NºAsuntos!I13/NºAsuntos!G13)*11)/factor_trimestre),((NºAsuntos!I13/NºAsuntos!G13)*11)/factor_trimestre," - ")</f>
        <v>4.34033203125</v>
      </c>
      <c r="AN13" s="1021">
        <f>IF(ISNUMBER('Resol  Asuntos'!D13/NºAsuntos!G13),'Resol  Asuntos'!D13/NºAsuntos!G13," - ")</f>
        <v>0.43994140625</v>
      </c>
      <c r="AO13" s="1022">
        <f>IF(ISNUMBER((NºAsuntos!C13+NºAsuntos!E13)/NºAsuntos!G13),(NºAsuntos!C13+NºAsuntos!E13)/NºAsuntos!G13," - ")</f>
        <v>2.45068359375</v>
      </c>
      <c r="AP13" s="1023" t="str">
        <f t="shared" si="2"/>
        <v xml:space="preserve"> - </v>
      </c>
      <c r="AQ13" s="1023">
        <f>IF(ISNUMBER((H13-W13+K13)/(F13)),(H13-W13+K13)/(F13)," - ")</f>
        <v>-0.24528301886792453</v>
      </c>
      <c r="AR13" s="1024">
        <f>IF(ISNUMBER((Datos!P13-Datos!Q13)/(Datos!R13-Datos!P13+Datos!Q13)),(Datos!P13-Datos!Q13)/(Datos!R13-Datos!P13+Datos!Q13)," - ")</f>
        <v>2.3599999999999999E-2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3045</v>
      </c>
      <c r="G15" s="342">
        <f>IF(ISNUMBER(IF(D_I="SI",Datos!I15,Datos!I15+Datos!AC15)),IF(D_I="SI",Datos!I15,Datos!I15+Datos!AC15)," - ")</f>
        <v>3045</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187</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1705</v>
      </c>
      <c r="X15" s="230">
        <f>IF(ISNUMBER(Datos!Q15),Datos!Q15," - ")</f>
        <v>236</v>
      </c>
      <c r="Y15" s="343">
        <f>SUM(W15)</f>
        <v>1705</v>
      </c>
      <c r="Z15" s="344" t="str">
        <f>IF(ISNUMBER(Datos!CC15),Datos!CC15," - ")</f>
        <v xml:space="preserve"> - </v>
      </c>
      <c r="AA15" s="341">
        <f>IF(ISNUMBER(IF(D_I="SI",Datos!L15,Datos!L15+Datos!AF15)),IF(D_I="SI",Datos!L15,Datos!L15+Datos!AF15)," - ")</f>
        <v>3311</v>
      </c>
      <c r="AB15" s="343">
        <f>IF(ISNUMBER(Datos!R15),Datos!R15," - ")</f>
        <v>809</v>
      </c>
      <c r="AC15" s="343">
        <f t="shared" ref="AC15:AC17" si="6">IF(ISNUMBER(AA15+AB15),AA15+AB15," - ")</f>
        <v>4120</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526</v>
      </c>
      <c r="AJ15" s="235" t="str">
        <f>IF(ISNUMBER(Datos!BW15),Datos!BW15," - ")</f>
        <v xml:space="preserve"> - </v>
      </c>
      <c r="AK15" s="236" t="str">
        <f>IF(ISNUMBER(Datos!BX15),Datos!BX15," - ")</f>
        <v xml:space="preserve"> - </v>
      </c>
      <c r="AL15" s="247">
        <f>IF(ISNUMBER(NºAsuntos!G15/NºAsuntos!E15),NºAsuntos!G15/NºAsuntos!E15," - ")</f>
        <v>0.86504312531709793</v>
      </c>
      <c r="AM15" s="264">
        <f>IF(ISNUMBER(((NºAsuntos!I15/NºAsuntos!G15)*11)/factor_trimestre),((NºAsuntos!I15/NºAsuntos!G15)*11)/factor_trimestre," - ")</f>
        <v>5.8258064516129027</v>
      </c>
      <c r="AN15" s="248">
        <f>IF(ISNUMBER('Resol  Asuntos'!D15/NºAsuntos!G15),'Resol  Asuntos'!D15/NºAsuntos!G15," - ")</f>
        <v>0.3085043988269795</v>
      </c>
      <c r="AO15" s="249">
        <f>IF(ISNUMBER((NºAsuntos!C15+NºAsuntos!E15)/NºAsuntos!G15),(NºAsuntos!C15+NºAsuntos!E15)/NºAsuntos!G15," - ")</f>
        <v>2.9419354838709677</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577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353</v>
      </c>
      <c r="X17" s="230">
        <f>IF(ISNUMBER(Datos!Q17),Datos!Q17," - ")</f>
        <v>2</v>
      </c>
      <c r="Y17" s="343">
        <f t="shared" si="7"/>
        <v>355</v>
      </c>
      <c r="Z17" s="344" t="str">
        <f>IF(ISNUMBER(Datos!CC17),Datos!CC17," - ")</f>
        <v xml:space="preserve"> - </v>
      </c>
      <c r="AA17" s="341">
        <f>IF(ISNUMBER(Datos!L17),Datos!L17,"-")</f>
        <v>627</v>
      </c>
      <c r="AB17" s="343">
        <f>IF(ISNUMBER(Datos!R17),Datos!R17," - ")</f>
        <v>3</v>
      </c>
      <c r="AC17" s="343">
        <f t="shared" si="6"/>
        <v>630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62</v>
      </c>
      <c r="AJ17" s="235" t="str">
        <f>IF(ISNUMBER(Datos!BW17),Datos!BW17," - ")</f>
        <v xml:space="preserve"> - </v>
      </c>
      <c r="AK17" s="236" t="str">
        <f>IF(ISNUMBER(Datos!BX17),Datos!BX17," - ")</f>
        <v xml:space="preserve"> - </v>
      </c>
      <c r="AL17" s="247">
        <f>IF(ISNUMBER(NºAsuntos!G17/NºAsuntos!E17),NºAsuntos!G17/NºAsuntos!E17," - ")</f>
        <v>0.87593052109181146</v>
      </c>
      <c r="AM17" s="264">
        <f>IF(ISNUMBER(((NºAsuntos!I17/NºAsuntos!G17)*11)/factor_trimestre),((NºAsuntos!I17/NºAsuntos!G17)*11)/factor_trimestre," - ")</f>
        <v>5.3286118980169972</v>
      </c>
      <c r="AN17" s="248">
        <f>IF(ISNUMBER('Resol  Asuntos'!D17/NºAsuntos!G17),'Resol  Asuntos'!D17/NºAsuntos!G17," - ")</f>
        <v>0.17563739376770537</v>
      </c>
      <c r="AO17" s="249">
        <f>IF(ISNUMBER((NºAsuntos!C17+NºAsuntos!E17)/NºAsuntos!G17),(NºAsuntos!C17+NºAsuntos!E17)/NºAsuntos!G17," - ")</f>
        <v>2.7762039660056659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3045</v>
      </c>
      <c r="G18" s="1012">
        <f>SUBTOTAL(9,G15:G17)</f>
        <v>3622</v>
      </c>
      <c r="H18" s="1011">
        <f t="shared" ref="H18:O18" si="10">SUBTOTAL(9,H14:H17)</f>
        <v>0</v>
      </c>
      <c r="I18" s="1013">
        <f t="shared" si="10"/>
        <v>0</v>
      </c>
      <c r="J18" s="1013">
        <f t="shared" si="10"/>
        <v>0</v>
      </c>
      <c r="K18" s="1013">
        <f t="shared" si="10"/>
        <v>0</v>
      </c>
      <c r="L18" s="1013">
        <f t="shared" si="10"/>
        <v>189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2058</v>
      </c>
      <c r="X18" s="1013">
        <f t="shared" si="11"/>
        <v>238</v>
      </c>
      <c r="Y18" s="1014">
        <f t="shared" si="11"/>
        <v>2060</v>
      </c>
      <c r="Z18" s="1014">
        <f t="shared" si="11"/>
        <v>0</v>
      </c>
      <c r="AA18" s="1014">
        <f t="shared" si="11"/>
        <v>3938</v>
      </c>
      <c r="AB18" s="1014">
        <f t="shared" si="11"/>
        <v>812</v>
      </c>
      <c r="AC18" s="1014">
        <f t="shared" si="11"/>
        <v>4750</v>
      </c>
      <c r="AD18" s="1014">
        <f t="shared" si="11"/>
        <v>0</v>
      </c>
      <c r="AE18" s="1018">
        <f t="shared" si="11"/>
        <v>0</v>
      </c>
      <c r="AF18" s="1011">
        <f t="shared" si="11"/>
        <v>0</v>
      </c>
      <c r="AG18" s="1019">
        <f t="shared" si="11"/>
        <v>0</v>
      </c>
      <c r="AH18" s="1016">
        <f t="shared" si="11"/>
        <v>0</v>
      </c>
      <c r="AI18" s="1011">
        <f t="shared" si="11"/>
        <v>588</v>
      </c>
      <c r="AJ18" s="1013">
        <f t="shared" si="11"/>
        <v>0</v>
      </c>
      <c r="AK18" s="1016">
        <f t="shared" si="11"/>
        <v>0</v>
      </c>
      <c r="AL18" s="1020">
        <f>IF(ISNUMBER(NºAsuntos!G18/NºAsuntos!E18),NºAsuntos!G18/NºAsuntos!E18," - ")</f>
        <v>0.8668913226621735</v>
      </c>
      <c r="AM18" s="1020">
        <f>IF(ISNUMBER(((NºAsuntos!I18/NºAsuntos!G18)*11)/factor_trimestre),((NºAsuntos!I18/NºAsuntos!G18)*11)/factor_trimestre," - ")</f>
        <v>5.740524781341108</v>
      </c>
      <c r="AN18" s="1021">
        <f>IF(ISNUMBER('Resol  Asuntos'!D18/NºAsuntos!G18),'Resol  Asuntos'!D18/NºAsuntos!G18," - ")</f>
        <v>0.2857142857142857</v>
      </c>
      <c r="AO18" s="1022">
        <f>IF(ISNUMBER((NºAsuntos!C18+NºAsuntos!E18)/NºAsuntos!G18),(NºAsuntos!C18+NºAsuntos!E18)/NºAsuntos!G18," - ")</f>
        <v>2.9135082604470361</v>
      </c>
      <c r="AP18" s="1023" t="str">
        <f t="shared" si="2"/>
        <v xml:space="preserve"> - </v>
      </c>
      <c r="AQ18" s="1023">
        <f>IF(ISNUMBER((H18-W18+K18)/(F18)),(H18-W18+K18)/(F18)," - ")</f>
        <v>-0.67586206896551726</v>
      </c>
      <c r="AR18" s="1024">
        <f>IF(ISNUMBER((Datos!P18-Datos!Q18)/(Datos!R18-Datos!P18+Datos!Q18)),(Datos!P18-Datos!Q18)/(Datos!R18-Datos!P18+Datos!Q18)," - ")</f>
        <v>-5.6910569105691054E-2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15</v>
      </c>
      <c r="F19" s="966">
        <f t="shared" si="13"/>
        <v>3204</v>
      </c>
      <c r="G19" s="967">
        <f t="shared" si="13"/>
        <v>3781</v>
      </c>
      <c r="H19" s="966">
        <f t="shared" si="13"/>
        <v>0</v>
      </c>
      <c r="I19" s="968">
        <f t="shared" si="13"/>
        <v>0</v>
      </c>
      <c r="J19" s="968">
        <f t="shared" si="13"/>
        <v>0</v>
      </c>
      <c r="K19" s="1027">
        <f t="shared" si="13"/>
        <v>0</v>
      </c>
      <c r="L19" s="968">
        <f t="shared" si="13"/>
        <v>710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2097</v>
      </c>
      <c r="X19" s="967">
        <f t="shared" si="14"/>
        <v>582</v>
      </c>
      <c r="Y19" s="974">
        <f t="shared" si="14"/>
        <v>2443</v>
      </c>
      <c r="Z19" s="974">
        <f t="shared" si="14"/>
        <v>0</v>
      </c>
      <c r="AA19" s="974">
        <f t="shared" si="14"/>
        <v>4118</v>
      </c>
      <c r="AB19" s="974">
        <f t="shared" si="14"/>
        <v>8489</v>
      </c>
      <c r="AC19" s="974">
        <f t="shared" si="14"/>
        <v>5061</v>
      </c>
      <c r="AD19" s="974">
        <f t="shared" si="14"/>
        <v>0</v>
      </c>
      <c r="AE19" s="976">
        <f t="shared" si="14"/>
        <v>0</v>
      </c>
      <c r="AF19" s="977">
        <f t="shared" si="14"/>
        <v>0</v>
      </c>
      <c r="AG19" s="978">
        <f t="shared" si="14"/>
        <v>0</v>
      </c>
      <c r="AH19" s="976">
        <f t="shared" si="14"/>
        <v>0</v>
      </c>
      <c r="AI19" s="966">
        <f t="shared" si="14"/>
        <v>2390</v>
      </c>
      <c r="AJ19" s="966">
        <f t="shared" si="14"/>
        <v>0</v>
      </c>
      <c r="AK19" s="976">
        <f t="shared" si="14"/>
        <v>0</v>
      </c>
      <c r="AL19" s="1030">
        <f>IF(ISNUMBER(NºAsuntos!G19/NºAsuntos!E19),NºAsuntos!G19/NºAsuntos!E19," - ")</f>
        <v>0.98843559267587533</v>
      </c>
      <c r="AM19" s="1031">
        <f>IF(ISNUMBER(((NºAsuntos!I19/NºAsuntos!G19)*11)/factor_trimestre),((NºAsuntos!I19/NºAsuntos!G19)*11)/factor_trimestre," - ")</f>
        <v>4.8085797855053629</v>
      </c>
      <c r="AN19" s="1031">
        <f>IF(ISNUMBER('Resol  Asuntos'!D19/NºAsuntos!G19),'Resol  Asuntos'!D19/NºAsuntos!G19," - ")</f>
        <v>0.38836529086772831</v>
      </c>
      <c r="AO19" s="1032">
        <f>IF(ISNUMBER((NºAsuntos!C19+NºAsuntos!E19)/NºAsuntos!G19),(NºAsuntos!C19+NºAsuntos!E19)/NºAsuntos!G19," - ")</f>
        <v>2.6054598635034125</v>
      </c>
      <c r="AP19" s="1033" t="str">
        <f t="shared" si="2"/>
        <v xml:space="preserve"> - </v>
      </c>
      <c r="AQ19" s="1034">
        <f>IF(OR(ISNUMBER(FIND("01",Criterios!A8,1)),ISNUMBER(FIND("02",Criterios!A8,1)),ISNUMBER(FIND("03",Criterios!A8,1)),ISNUMBER(FIND("04",Criterios!A8,1))),(I19-W19+K19)/(F19-K19),(H19-W19+K19)/(F19-K19))</f>
        <v>-0.6544943820224719</v>
      </c>
      <c r="AR19" s="1035">
        <f>IF(ISNUMBER((Datos!P19-Datos!Q19)/(Datos!R19-Datos!P19+Datos!Q19)),(Datos!P19-Datos!Q19)/(Datos!R19-Datos!P19+Datos!Q19)," - ")</f>
        <v>1.5309173543834469E-2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1512.4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3.4641016151377544</v>
      </c>
      <c r="F21" s="256">
        <f>IF(ISNUMBER(STDEV(F8:F18)),STDEV(F8:F18),"-")</f>
        <v>1666.2328768812599</v>
      </c>
      <c r="G21" s="257">
        <f>IF(ISNUMBER(STDEV(G8:G18)),STDEV(G8:G18),"-")</f>
        <v>1683.5699569664457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968.51855945046293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733.4531179226633</v>
      </c>
      <c r="AJ21" s="256">
        <f t="shared" si="18"/>
        <v>0</v>
      </c>
      <c r="AK21" s="258">
        <f t="shared" si="18"/>
        <v>0</v>
      </c>
      <c r="AL21" s="253">
        <f t="shared" si="18"/>
        <v>0.15847092093370593</v>
      </c>
      <c r="AM21" s="254">
        <f t="shared" si="18"/>
        <v>3.4366536756448709</v>
      </c>
      <c r="AN21" s="254">
        <f t="shared" si="18"/>
        <v>0.15688685958104912</v>
      </c>
      <c r="AO21" s="255">
        <f t="shared" si="18"/>
        <v>1.143362094628801</v>
      </c>
      <c r="AP21" s="295" t="str">
        <f t="shared" si="18"/>
        <v>-</v>
      </c>
      <c r="AQ21" s="296">
        <f t="shared" si="18"/>
        <v>0.30446536616087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hEbhoOYNM5pkcQBxwOb2djWzNcGc1a8W7NW4FiZUBH2zjVtypEiq982BXEuBZDVTANhtYbVIDHwBTDCQ/VX1DA==" saltValue="R8ifeqMM7AFjq7Gl2HHz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ARABA-ALAVA</v>
      </c>
      <c r="E3" s="267"/>
    </row>
    <row r="4" spans="2:20" ht="17.25" customHeight="1" thickBot="1">
      <c r="D4" s="266" t="str">
        <f>Criterios!A11 &amp;"  "&amp;Criterios!B11</f>
        <v>Resumenes por Partidos Judiciales  VITORIA-GASTEIZ</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0.16341287057122197</v>
      </c>
      <c r="I9" s="359">
        <f>IF(ISNUMBER((Tasas!C9-Datos!BE9)/Datos!BE9),(Tasas!C9-Datos!BE9)/Datos!BE9," - ")</f>
        <v>0.21504830600036351</v>
      </c>
      <c r="J9" s="358">
        <f>IF(ISNUMBER((Tasas!D9-Datos!BF9)/Datos!BF9),(Tasas!D9-Datos!BF9)/Datos!BF9," - ")</f>
        <v>1.6748449145356359</v>
      </c>
      <c r="K9" s="360">
        <f>IF(ISNUMBER((Tasas!E9-Datos!BG9)/Datos!BG9),(Tasas!E9-Datos!BG9)/Datos!BG9," - ")</f>
        <v>0.11599978175290077</v>
      </c>
      <c r="M9" t="e">
        <f>IF(Monitorios="SI",Datos!CE9,0)</f>
        <v>#REF!</v>
      </c>
      <c r="N9" t="e">
        <f>IF(Monitorios="SI",Datos!CF9,0)</f>
        <v>#REF!</v>
      </c>
      <c r="O9" t="e">
        <f>IF(Monitorios="SI",Datos!CG9,0)</f>
        <v>#REF!</v>
      </c>
      <c r="P9" t="e">
        <f>IF(Monitorios="SI",Datos!CH9,0)</f>
        <v>#REF!</v>
      </c>
      <c r="Q9">
        <f>IF(J_V="SI",0,Datos!AG9)</f>
        <v>101</v>
      </c>
      <c r="R9">
        <f>IF(J_V="SI",0,Datos!AH9)</f>
        <v>184</v>
      </c>
      <c r="S9">
        <f>IF(J_V="SI",0,Datos!AI9)</f>
        <v>184</v>
      </c>
      <c r="T9">
        <f>IF(J_V="SI",0,Datos!AJ9)</f>
        <v>101</v>
      </c>
    </row>
    <row r="10" spans="2:20" ht="14.25">
      <c r="B10" s="279" t="s">
        <v>249</v>
      </c>
      <c r="C10" s="7" t="str">
        <f>Datos!A10</f>
        <v>Jdos. Violencia contra la mujer</v>
      </c>
      <c r="D10" s="361">
        <f>IF(ISNUMBER((Datos!I10-Datos!S10)/Datos!S10),(Datos!I10-Datos!S10)/Datos!S10," - ")</f>
        <v>0.1276595744680851</v>
      </c>
      <c r="E10" s="357">
        <f>IF(ISNUMBER((Datos!J10-Datos!T10)/Datos!T10),(Datos!J10-Datos!T10)/Datos!T10," - ")</f>
        <v>0.5</v>
      </c>
      <c r="F10" s="357">
        <f>IF(ISNUMBER((Datos!K10-Datos!U10)/Datos!U10),(Datos!K10-Datos!U10)/Datos!U10," - ")</f>
        <v>-0.1875</v>
      </c>
      <c r="G10" s="358">
        <f>IF(ISNUMBER((Datos!L10-Datos!V10)/Datos!V10),(Datos!L10-Datos!V10)/Datos!V10," - ")</f>
        <v>0.35338345864661652</v>
      </c>
      <c r="H10" s="234">
        <f>IF(ISNUMBER((Datos!M10-Datos!W10)/Datos!W10),(Datos!M10-Datos!W10)/Datos!W10," - ")</f>
        <v>0.15</v>
      </c>
      <c r="I10" s="359">
        <f>IF(ISNUMBER((Tasas!C10-Datos!BE10)/Datos!BE10),(Tasas!C10-Datos!BE10)/Datos!BE10," - ")</f>
        <v>0.66570271833429706</v>
      </c>
      <c r="J10" s="358">
        <f>IF(ISNUMBER((Tasas!D10-Datos!BF10)/Datos!BF10),(Tasas!D10-Datos!BF10)/Datos!BF10," - ")</f>
        <v>0.41538461538461535</v>
      </c>
      <c r="K10" s="360">
        <f>IF(ISNUMBER((Tasas!E10-Datos!BG10)/Datos!BG10),(Tasas!E10-Datos!BG10)/Datos!BG10," - ")</f>
        <v>0.48916277093072658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-0.2857142857142857</v>
      </c>
      <c r="I11" s="359">
        <f>IF(ISNUMBER((Tasas!C11-Datos!BE11)/Datos!BE11),(Tasas!C11-Datos!BE11)/Datos!BE11," - ")</f>
        <v>0.18969108613976954</v>
      </c>
      <c r="J11" s="358">
        <f>IF(ISNUMBER((Tasas!D11-Datos!BF11)/Datos!BF11),(Tasas!D11-Datos!BF11)/Datos!BF11," - ")</f>
        <v>-0.72685477019212319</v>
      </c>
      <c r="K11" s="360">
        <f>IF(ISNUMBER((Tasas!E11-Datos!BG11)/Datos!BG11),(Tasas!E11-Datos!BG11)/Datos!BG11," - ")</f>
        <v>9.6857754379282318E-2</v>
      </c>
      <c r="M11" t="e">
        <f>IF(Monitorios="SI",Datos!CE11,0)</f>
        <v>#REF!</v>
      </c>
      <c r="N11" t="e">
        <f>IF(Monitorios="SI",Datos!CF11,0)</f>
        <v>#REF!</v>
      </c>
      <c r="O11" t="e">
        <f>IF(Monitorios="SI",Datos!CG11,0)</f>
        <v>#REF!</v>
      </c>
      <c r="P11" t="e">
        <f>IF(Monitorios="SI",Datos!CH11,0)</f>
        <v>#REF!</v>
      </c>
      <c r="Q11">
        <f>IF(J_V="SI",0,Datos!AG11)</f>
        <v>180</v>
      </c>
      <c r="R11">
        <f>IF(J_V="SI",0,Datos!AH11)</f>
        <v>336</v>
      </c>
      <c r="S11">
        <f>IF(J_V="SI",0,Datos!AI11)</f>
        <v>386</v>
      </c>
      <c r="T11">
        <f>IF(J_V="SI",0,Datos!AJ11)</f>
        <v>130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9.8110907982937229E-2</v>
      </c>
      <c r="I13" s="366">
        <f>IF(ISNUMBER((Tasas!C13-Datos!BE13)/Datos!BE13),(Tasas!C13-Datos!BE13)/Datos!BE13," - ")</f>
        <v>0.21408814845001134</v>
      </c>
      <c r="J13" s="364">
        <f>IF(ISNUMBER((Tasas!D13-Datos!BF13)/Datos!BF13),(Tasas!D13-Datos!BF13)/Datos!BF13," - ")</f>
        <v>0.33806391220978449</v>
      </c>
      <c r="K13" s="367">
        <f>IF(ISNUMBER((Tasas!E13-Datos!BG13)/Datos!BG13),(Tasas!E13-Datos!BG13)/Datos!BG13," - ")</f>
        <v>0.11458244536577794</v>
      </c>
      <c r="M13" t="e">
        <f>IF(Monitorios="SI",Datos!CE13,0)</f>
        <v>#REF!</v>
      </c>
      <c r="N13" t="e">
        <f>IF(Monitorios="SI",Datos!CF13,0)</f>
        <v>#REF!</v>
      </c>
      <c r="O13" t="e">
        <f>IF(Monitorios="SI",Datos!CG13,0)</f>
        <v>#REF!</v>
      </c>
      <c r="P13" t="e">
        <f>IF(Monitorios="SI",Datos!CH13,0)</f>
        <v>#REF!</v>
      </c>
      <c r="Q13">
        <f>IF(J_V="SI",0,Datos!AG13)</f>
        <v>281</v>
      </c>
      <c r="R13">
        <f>IF(J_V="SI",0,Datos!AH13)</f>
        <v>520</v>
      </c>
      <c r="S13">
        <f>IF(J_V="SI",0,Datos!AI13)</f>
        <v>570</v>
      </c>
      <c r="T13">
        <f>IF(J_V="SI",0,Datos!AJ13)</f>
        <v>231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0.10687022900763359</v>
      </c>
      <c r="E15" s="357">
        <f>IF(ISNUMBER(
   IF(D_I="SI",(Datos!J15-Datos!T15)/Datos!T15,(Datos!J15+Datos!AD15-(Datos!T15+Datos!AL15))/(Datos!T15+Datos!AL15))
     ),IF(D_I="SI",(Datos!J15-Datos!T15)/Datos!T15,(Datos!J15+Datos!AD15-(Datos!T15+Datos!AL15))/(Datos!T15+Datos!AL15))," - ")</f>
        <v>-0.10041077133728891</v>
      </c>
      <c r="F15" s="357">
        <f>IF(ISNUMBER(
   IF(D_I="SI",(Datos!K15-Datos!U15)/Datos!U15,(Datos!K15+Datos!AE15-(Datos!U15+Datos!AM15))/(Datos!U15+Datos!AM15))
     ),IF(D_I="SI",(Datos!K15-Datos!U15)/Datos!U15,(Datos!K15+Datos!AE15-(Datos!U15+Datos!AM15))/(Datos!U15+Datos!AM15))," - ")</f>
        <v>-0.26158510177566047</v>
      </c>
      <c r="G15" s="358">
        <f>IF(ISNUMBER(
   IF(D_I="SI",(Datos!L15-Datos!V15)/Datos!V15,(Datos!L15+Datos!AF15-(Datos!V15+Datos!AN15))/(Datos!V15+Datos!AN15))
     ),IF(D_I="SI",(Datos!L15-Datos!V15)/Datos!V15,(Datos!L15+Datos!AF15-(Datos!V15+Datos!AN15))/(Datos!V15+Datos!AN15))," - ")</f>
        <v>0.21237641889417797</v>
      </c>
      <c r="H15" s="234">
        <f>IF(ISNUMBER((Datos!M15-Datos!W15)/Datos!W15),(Datos!M15-Datos!W15)/Datos!W15," - ")</f>
        <v>-0.25811001410437234</v>
      </c>
      <c r="I15" s="359">
        <f>IF(ISNUMBER((Tasas!C15-Datos!BE15)/Datos!BE15),(Tasas!C15-Datos!BE15)/Datos!BE15," - ")</f>
        <v>0.6418634318044909</v>
      </c>
      <c r="J15" s="358">
        <f>IF(ISNUMBER((Tasas!D15-Datos!BF15)/Datos!BF15),(Tasas!D15-Datos!BF15)/Datos!BF15," - ")</f>
        <v>4.7061451219967861E-3</v>
      </c>
      <c r="K15" s="360">
        <f>IF(ISNUMBER((Tasas!E15-Datos!BG15)/Datos!BG15),(Tasas!E15-Datos!BG15)/Datos!BG15," - ")</f>
        <v>0.37453035861150646</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3.2200357781753133E-2</v>
      </c>
      <c r="E17" s="357">
        <f>IF(ISNUMBER(
   IF(D_I="SI",(Datos!J17-Datos!T17)/Datos!T17,(Datos!J17+Datos!AD17-(Datos!T17+Datos!AL17))/(Datos!T17+Datos!AL17))
     ),IF(D_I="SI",(Datos!J17-Datos!T17)/Datos!T17,(Datos!J17+Datos!AD17-(Datos!T17+Datos!AL17))/(Datos!T17+Datos!AL17))," - ")</f>
        <v>-9.0293453724604969E-2</v>
      </c>
      <c r="F17" s="357">
        <f>IF(ISNUMBER(
   IF(D_I="SI",(Datos!K17-Datos!U17)/Datos!U17,(Datos!K17+Datos!AE17-(Datos!U17+Datos!AM17))/(Datos!U17+Datos!AM17))
     ),IF(D_I="SI",(Datos!K17-Datos!U17)/Datos!U17,(Datos!K17+Datos!AE17-(Datos!U17+Datos!AM17))/(Datos!U17+Datos!AM17))," - ")</f>
        <v>-0.28542510121457487</v>
      </c>
      <c r="G17" s="358">
        <f>IF(ISNUMBER(
   IF(D_I="SI",(Datos!L17-Datos!V17)/Datos!V17,(Datos!L17+Datos!AF17-(Datos!V17+Datos!AN17))/(Datos!V17+Datos!AN17))
     ),IF(D_I="SI",(Datos!L17-Datos!V17)/Datos!V17,(Datos!L17+Datos!AF17-(Datos!V17+Datos!AN17))/(Datos!V17+Datos!AN17))," - ")</f>
        <v>0.1965648854961832</v>
      </c>
      <c r="H17" s="234">
        <f>IF(ISNUMBER((Datos!M17-Datos!W17)/Datos!W17),(Datos!M17-Datos!W17)/Datos!W17," - ")</f>
        <v>0.14814814814814814</v>
      </c>
      <c r="I17" s="359">
        <f>IF(ISNUMBER((Tasas!C17-Datos!BE17)/Datos!BE17),(Tasas!C17-Datos!BE17)/Datos!BE17," - ")</f>
        <v>0.6745128992496161</v>
      </c>
      <c r="J17" s="358">
        <f>IF(ISNUMBER((Tasas!D17-Datos!BF17)/Datos!BF17),(Tasas!D17-Datos!BF17)/Datos!BF17," - ")</f>
        <v>0.60675689854160098</v>
      </c>
      <c r="K17" s="360">
        <f>IF(ISNUMBER((Tasas!E17-Datos!BG17)/Datos!BG17),(Tasas!E17-Datos!BG17)/Datos!BG17," - ")</f>
        <v>0.36870734451776332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9.4259818731117828E-2</v>
      </c>
      <c r="E18" s="363">
        <f>IF(ISNUMBER(
   IF(D_I="SI",(Datos!J18-Datos!T18)/Datos!T18,(Datos!J18+Datos!AD18-(Datos!T18+Datos!AL18))/(Datos!T18+Datos!AL18))
     ),IF(D_I="SI",(Datos!J18-Datos!T18)/Datos!T18,(Datos!J18+Datos!AD18-(Datos!T18+Datos!AL18))/(Datos!T18+Datos!AL18))," - ")</f>
        <v>-9.8709187547456334E-2</v>
      </c>
      <c r="F18" s="363">
        <f>IF(ISNUMBER(
   IF(D_I="SI",(Datos!K18-Datos!U18)/Datos!U18,(Datos!K18+Datos!AE18-(Datos!U18+Datos!AM18))/(Datos!U18+Datos!AM18))
     ),IF(D_I="SI",(Datos!K18-Datos!U18)/Datos!U18,(Datos!K18+Datos!AE18-(Datos!U18+Datos!AM18))/(Datos!U18+Datos!AM18))," - ")</f>
        <v>-0.26578665715305028</v>
      </c>
      <c r="G18" s="364">
        <f>IF(ISNUMBER(
   IF(D_I="SI",(Datos!L18-Datos!V18)/Datos!V18,(Datos!L18+Datos!AF18-(Datos!V18+Datos!AN18))/(Datos!V18+Datos!AN18))
     ),IF(D_I="SI",(Datos!L18-Datos!V18)/Datos!V18,(Datos!L18+Datos!AF18-(Datos!V18+Datos!AN18))/(Datos!V18+Datos!AN18))," - ")</f>
        <v>0.20983102918586791</v>
      </c>
      <c r="H18" s="365">
        <f>IF(ISNUMBER((Datos!M18-Datos!W18)/Datos!W18),(Datos!M18-Datos!W18)/Datos!W18," - ")</f>
        <v>-0.22935779816513763</v>
      </c>
      <c r="I18" s="366">
        <f>IF(ISNUMBER((Tasas!C18-Datos!BE18)/Datos!BE18),(Tasas!C18-Datos!BE18)/Datos!BE18," - ")</f>
        <v>0.64779221322059644</v>
      </c>
      <c r="J18" s="364">
        <f>IF(ISNUMBER((Tasas!D18-Datos!BF18)/Datos!BF18),(Tasas!D18-Datos!BF18)/Datos!BF18," - ")</f>
        <v>4.9616176745927776E-2</v>
      </c>
      <c r="K18" s="367">
        <f>IF(ISNUMBER((Tasas!E18-Datos!BG18)/Datos!BG18),(Tasas!E18-Datos!BG18)/Datos!BG18," - ")</f>
        <v>0.37391716925185775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0.30965415943383628</v>
      </c>
      <c r="E19" s="372">
        <f>IF(ISNUMBER(
   IF(J_V="SI",(Datos!J19-Datos!T19)/Datos!T19,(Datos!J19+Datos!Z19-(Datos!T19+Datos!AH19))/(Datos!T19+Datos!AH19))
     ),IF(J_V="SI",(Datos!J19-Datos!T19)/Datos!T19,(Datos!J19+Datos!Z19-(Datos!T19+Datos!AH19))/(Datos!T19+Datos!AH19))," - ")</f>
        <v>-4.5092024539877304E-2</v>
      </c>
      <c r="F19" s="372">
        <f>IF(ISNUMBER(
   IF(J_V="SI",(Datos!K19-Datos!U19)/Datos!U19,(Datos!K19+Datos!AA19-(Datos!U19+Datos!AI19))/(Datos!U19+Datos!AI19))
     ),IF(J_V="SI",(Datos!K19-Datos!U19)/Datos!U19,(Datos!K19+Datos!AA19-(Datos!U19+Datos!AI19))/(Datos!U19+Datos!AI19))," - ")</f>
        <v>-4.898779168598362E-2</v>
      </c>
      <c r="G19" s="373">
        <f>IF(ISNUMBER(
   IF(J_V="SI",(Datos!L19-Datos!V19)/Datos!V19,(Datos!L19+Datos!AB19-(Datos!V19+Datos!AJ19))/(Datos!V19+Datos!AJ19))
     ),IF(J_V="SI",(Datos!L19-Datos!V19)/Datos!V19,(Datos!L19+Datos!AB19-(Datos!V19+Datos!AJ19))/(Datos!V19+Datos!AJ19))," - ")</f>
        <v>0.29346970889063728</v>
      </c>
      <c r="H19" s="374">
        <f>IF(ISNUMBER((Datos!M19-Datos!W19)/Datos!W19),(Datos!M19-Datos!W19)/Datos!W19," - ")</f>
        <v>-5.8236272878535774E-3</v>
      </c>
      <c r="I19" s="371">
        <f>IF(ISNUMBER((Tasas!C19-Datos!BE19)/Datos!BE19),(Tasas!C19-Datos!BE19)/Datos!BE19," - ")</f>
        <v>0.36009790156504928</v>
      </c>
      <c r="J19" s="372">
        <f>IF(ISNUMBER((Tasas!D19-Datos!BF19)/Datos!BF19),(Tasas!D19-Datos!BF19)/Datos!BF19," - ")</f>
        <v>0.27633915551298616</v>
      </c>
      <c r="K19" s="373">
        <f>IF(ISNUMBER((Tasas!E19-Datos!BG19)/Datos!BG19),(Tasas!E19-Datos!BG19)/Datos!BG19," - ")</f>
        <v>0.20350708663934489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4.1075328592607881E-2</v>
      </c>
      <c r="E21" s="282">
        <f t="shared" si="1"/>
        <v>0.29826836729983935</v>
      </c>
      <c r="F21" s="282">
        <f t="shared" si="1"/>
        <v>4.2990692371710305E-2</v>
      </c>
      <c r="G21" s="283">
        <f t="shared" si="1"/>
        <v>7.3888894245755329E-2</v>
      </c>
      <c r="H21" s="289">
        <f t="shared" si="1"/>
        <v>0.21413525783628856</v>
      </c>
      <c r="I21" s="281">
        <f t="shared" si="1"/>
        <v>0.24155497486786398</v>
      </c>
      <c r="J21" s="282">
        <f t="shared" si="1"/>
        <v>0.72955887944680842</v>
      </c>
      <c r="K21" s="283">
        <f t="shared" si="1"/>
        <v>0.16180040269281598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NEgYtES61HYiWdiisxCnju3/GiAFwzr8FnQtIfnmkIWSWUUGAqdUEBWr6z0a5lGqDikVbKxdCnWot6ZV83bOQ==" saltValue="E0kyL9s9I0ShVZqh1Y1a/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